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<sst xmlns="http://schemas.openxmlformats.org/spreadsheetml/2006/main" count="1133" uniqueCount="204">
  <si>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</si>
  <si>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</si>
  <si>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</si>
  <si>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</si>
  <si>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</si>
  <si>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</si>
  <si>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</si>
  <si>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</si>
  <si>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Приложение № 1.1
к Приказу Минэнерго России
от 24.03.2010 № 114</t>
  </si>
  <si>
    <t>Утверждаю
руководитель организации</t>
  </si>
  <si>
    <t>(подпись)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</si>
  <si>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</si>
  <si>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</si>
  <si>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</si>
  <si>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</si>
  <si>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</si>
  <si>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</si>
  <si>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</si>
  <si>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Создание систем телемеханики и связи</t>
  </si>
  <si>
    <t>Год начала строитель-
ства</t>
  </si>
  <si>
    <t>Год окончания строитель-
ства</t>
  </si>
  <si>
    <t>план года N</t>
  </si>
  <si>
    <t>план года N + 1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</si>
  <si>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</si>
  <si>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</si>
  <si>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</si>
  <si>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</si>
  <si>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</si>
  <si>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план года N + 2 ***</t>
  </si>
  <si>
    <t>Ввод мощностей</t>
  </si>
  <si>
    <t>1.1</t>
  </si>
  <si>
    <t>1.2</t>
  </si>
  <si>
    <t>1.3</t>
  </si>
  <si>
    <t>1.4</t>
  </si>
  <si>
    <t>Внедрение системы шариковой очистки (СШО) конденсаторов блоков №1, №2 (ПИР-2015, поставка, монтаж, наладка-2016г.)</t>
  </si>
  <si>
    <t>С</t>
  </si>
  <si>
    <t>Главная инспекция с продлением ресурса газовых турбин после наработки 100000 эквивалентных часов ст. №11, ст.№12 (поставка, монтаж, наладка - 2014-2016гг.)</t>
  </si>
  <si>
    <t>Применение частотного регулирования эл.двигателей 0,4 кВ общестанционного и блочного оборудования (ПИР - 2014г., поставка, монтаж, наладка 2015-2016гг.)</t>
  </si>
  <si>
    <t>4 кв 2014</t>
  </si>
  <si>
    <t>3 кв 2016</t>
  </si>
  <si>
    <t>4 кв 2015</t>
  </si>
  <si>
    <t>4 кв 2016</t>
  </si>
  <si>
    <t>1 кв 2017</t>
  </si>
  <si>
    <t xml:space="preserve"> -</t>
  </si>
  <si>
    <t>Модернизация оборудования ПТК АСУ ТП бл. №1 в части верхнего уровня (поставка, монтаж, наладка - 2020г.)</t>
  </si>
  <si>
    <t>Модернизация оборудования ПТК АСУ ТП бл. №2 в части верхнего уровня (поставка, монтаж, наладка - 2017г.)</t>
  </si>
  <si>
    <t>Модернизация оборудования АСУ ТП блока №1, ГТУ 11,12 (ПИР, поставка - 2014г., монтаж, наладка - 2015г, 2016г.)</t>
  </si>
  <si>
    <t>Модернизация оборудования ПТК АСУ ТП общестанционного уровня (ЗРП, ТФУ, ЦНС, ХЖТ) в части верхнего уровня (поставка - 2017г., монтаж, наладка - 2018г.)</t>
  </si>
  <si>
    <t>Модернизация оборудования ПТК АСУ ТП ГТУ 21, ПТК АСУ ТП ГТУ22 (ПИР - 2018г., поставка, монтаж, наладка - 2019г.)</t>
  </si>
  <si>
    <t>1 кв 2020</t>
  </si>
  <si>
    <t>4 кв 2020</t>
  </si>
  <si>
    <t>4 кв 2017</t>
  </si>
  <si>
    <t>3 кв 2013</t>
  </si>
  <si>
    <t>4 кв 2018</t>
  </si>
  <si>
    <t>1 кв 2018</t>
  </si>
  <si>
    <t>4 кв 2019</t>
  </si>
  <si>
    <t>Проектирование и монтаж системы телевизионного контроля (ПИР - 2013г., поставка, монтаж, наладка - 2016г.)</t>
  </si>
  <si>
    <t>Проектирование и монтаж системы звуковоспроизведения (ПИР, поставка, монтаж, наладка - 2016г.)</t>
  </si>
  <si>
    <t>Проектирование и монтаж системы передачи информации на ОДУ Северо-Запада в части оборудования телемеханики (ПИР, поставка, монтаж, наладка - 2017г.)</t>
  </si>
  <si>
    <t>Проектирование и монтаж системы записи оперативных разговоров (ПИР, поставка, монтаж и наладка - 2017г.)</t>
  </si>
  <si>
    <t>Проектирование и монтаж каналообразующего оборудования (ПИР, поставка, монтаж, наладка - 2016г.)</t>
  </si>
  <si>
    <t>Модернизация структурированной кабельной вычислительной сети (СКВС) СЗ ТЭЦ (поставка, монтаж, наладка - 2016г.)</t>
  </si>
  <si>
    <t>4 кв 2013</t>
  </si>
  <si>
    <t>2 кв 2016</t>
  </si>
  <si>
    <t>Прочие работы и оборудование</t>
  </si>
  <si>
    <t>Модернизация РУСН-0.4кВ энергоблока ПГУ-450 №1 (ПИР-2011г., поставка, монтаж, наладка-2016г.)</t>
  </si>
  <si>
    <t>Модернизация систем охлаждения насосов котельного и теплофикационного отделений блоков №1,№2 (ПИР-2011г., поставка, монтаж, наладка - 2017г.)</t>
  </si>
  <si>
    <t>Техническое перевооружение генератора Г-2 с полной заменой обмотки статора и применением современной изоляции повышенной теплопроводности (поставка, монтаж, наладка - 2019г.)</t>
  </si>
  <si>
    <t>Проектирование, поставка и монтаж 3-х питательных электронасосных агрегатов высокого давления Блока №1 (ПИР-2015г., поставка, монтаж, наладка- 2016г.)</t>
  </si>
  <si>
    <t>Проектирование и монтаж системы контроля уходящих дымовых газов КУ-21, 22 (ПИР, поставка, монтаж, наладка - 2019г.)</t>
  </si>
  <si>
    <t>Техническое перевооружение генератора Г-5 серии ТЗФГ-160-2МУЗ с заменой сердечника статора (ППР, поставка, монтаж, наладка-2017г.)</t>
  </si>
  <si>
    <t>Модернизация устройств РЗА ОРУ-330кВ с внедрением цифровых микропроцессорных защит ВЛ-330кВ Л-473 (ПИР-2013г., поставка, монтаж, наладка-2016г.).</t>
  </si>
  <si>
    <t>Техническое перевооружение устройств РЗА ОРУ-330кВ с внедрением цифровых микропроцессорных защит ВЛ-330кВ Л-477 (ПИР-2016г., поставка, монтаж, наладка-2017г.)</t>
  </si>
  <si>
    <t>Разработка и реализация схемы очистки продувочной воды оборотного водоснабжения (ПИР-2016г., поставка, монтаж, наладка - 2018г.)</t>
  </si>
  <si>
    <t>Модернизация системы катодной защиты подземных трубопроводов СЗ ТЭЦ от коррозии (ПИР - 2011г., поставка,монтаж, наладка - 2020г.)</t>
  </si>
  <si>
    <t>Модернизация систем жизнеобеспечения Административного корпуса, Инженерно-бытового корпуса АК, ИБК, Главного корпуса ГК (ПИР, поставка, монтаж, наладка -2016г.)</t>
  </si>
  <si>
    <t>Модернизация ХВО с целью замены ручной запорной арматуры на арматуру с электроприводом и пневмоприводом (ПИР -2011г., поставка, монтаж, наладка -2016г.)</t>
  </si>
  <si>
    <t>Резерв на непредвиденные расходы по модернизации</t>
  </si>
  <si>
    <t xml:space="preserve">Прочие инвестиции в форме капитальных вложений  </t>
  </si>
  <si>
    <t>Закупка спектрофотометра "ЮНИКО"-1201 (для ХЦ)</t>
  </si>
  <si>
    <t>Закупка анализатора нефтепродуктов в водной среде ИКН-025 (для ХЦ)</t>
  </si>
  <si>
    <t>Закупка плиты нагревательной ES-HA3040 300/400 с керамическим покрытием (для ХЦ)</t>
  </si>
  <si>
    <t>Закупка тележки-инжектора Е-385 1/2ТА (для ХЦ)</t>
  </si>
  <si>
    <t>Закупка ультразвукового твердомера УЗИТ-3 (для ОТД)</t>
  </si>
  <si>
    <t>Закупка ультразвукового толщиномера 38 DL PLUS с набором преобразователей (для ОТД)</t>
  </si>
  <si>
    <t>Закупка постоянного магнита MAGNAFLUX YM-5 (для ОТД)</t>
  </si>
  <si>
    <t>Закупка магнитных клещей с аккумуляторным питанием Magnaflux Y-8 (для ОТД)</t>
  </si>
  <si>
    <t>Закупка магнитных клещей Magnaflux Y-7 (для ОТД)</t>
  </si>
  <si>
    <t>Закупка системы УФ-освещения MAGNAFLUX ZB-100LED (для ОТД)</t>
  </si>
  <si>
    <t>Закупка модульного дефектоскопа OMNISCAN с набором преобразователей (для ОТД)</t>
  </si>
  <si>
    <t>Закупка вихретокового детектора Nortec 500D (для ОТД)</t>
  </si>
  <si>
    <t>Закупка переносного BT-дефектоскоп WorkStation Nortec 220 (для ОТД)</t>
  </si>
  <si>
    <t>Закупка передвижного магнитного дефектоскопа MAG 50 5HM (для ОТД)</t>
  </si>
  <si>
    <t>Закупка магнитометра с микропроцессорным управлением производства MAGNAFLUX GM 07 (для ОТД)</t>
  </si>
  <si>
    <t>Закупка мотопомпы Honda KTX-100X (для ЦТиИК)</t>
  </si>
  <si>
    <t>Закупка минипогрузчика SunWard SWL3210 с навесным оборудованием (для АТЦ)</t>
  </si>
  <si>
    <t>Закупка вилочного погрузчика UN FORKLIFT (для АТЦ)</t>
  </si>
  <si>
    <t>Закупка пистолета ручного пневматического AMP MAXI TERMI-POINT- 1 шт (для Цеха АСУТП)</t>
  </si>
  <si>
    <t>Закупка тепловизора Fluke Ti32 (для ОТД)</t>
  </si>
  <si>
    <t>Модернизация комплекса ИТСО (3 этап) (ПИР, поставка, монтаж, наладка - 2016, 2017гг.)</t>
  </si>
  <si>
    <t>Модернизация комплекса ИТСО (4 этап) (поставка, монтаж, наладка - 2017г.)</t>
  </si>
  <si>
    <t>Приобретение пожарных автомашин на базе шасси КАМАЗ</t>
  </si>
  <si>
    <t>Приобретение пароконвектомата ПКА 6-1/1</t>
  </si>
  <si>
    <t>Приобретение шкафов холодильных Polair CM105-G 4 шт.</t>
  </si>
  <si>
    <t>Приобретение мясорубки MИM-300</t>
  </si>
  <si>
    <t>Приобретение посудомоечной машины МПК-1100К</t>
  </si>
  <si>
    <t>Приобретение Volkswagen Passat - 2 шт</t>
  </si>
  <si>
    <t>Приобретение Audi A6 (Quattro) - 1 шт</t>
  </si>
  <si>
    <t>Приобретение автомобиля ГАЗ 2217 - 1 шт.</t>
  </si>
  <si>
    <t>Приобретение Volkswagen Crafter - 2 шт.</t>
  </si>
  <si>
    <t>Приобретение автобуса Higer KLQ 6129 Q - 4 шт.</t>
  </si>
  <si>
    <t>Приобретение Volkswagen Transporter Kombi - 2 шт.</t>
  </si>
  <si>
    <t>Приобретение оргтехники</t>
  </si>
  <si>
    <t>Приобретение серверного оборудования</t>
  </si>
  <si>
    <t>Приобретение сетевого оборудования</t>
  </si>
  <si>
    <t>Модернизация программной системы с добавлением новых функциональных возможностей и программных модулей тренажерно-аналитического комплекса ПГУ-450</t>
  </si>
  <si>
    <t>план
2016</t>
  </si>
  <si>
    <t>план
2017</t>
  </si>
  <si>
    <t>план
2018</t>
  </si>
  <si>
    <t>план
2019</t>
  </si>
  <si>
    <t>план
2020</t>
  </si>
  <si>
    <t>*</t>
  </si>
  <si>
    <t>С - строительство, П - проектирование.</t>
  </si>
  <si>
    <t>**</t>
  </si>
  <si>
    <t>Согласно проектной документации в текущих ценах (с НДС).</t>
  </si>
  <si>
    <t>***</t>
  </si>
  <si>
    <t>Для сетевых организаций, переходящих на метод тарифного регулирования RAB, горизонт планирования может быть больше.</t>
  </si>
  <si>
    <t>****</t>
  </si>
  <si>
    <t>В прогнозных ценах соответствующего года.</t>
  </si>
  <si>
    <t>Примечание: для сетевых объектов с разделением объектов на ПС, ВЛ и КЛ.</t>
  </si>
  <si>
    <t>П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</si>
  <si>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</si>
  <si>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</si>
  <si>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</si>
  <si>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</si>
  <si>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</si>
  <si>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</si>
  <si>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</si>
  <si>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</si>
  <si>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</si>
  <si>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</si>
  <si>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</si>
  <si>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</si>
  <si>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</si>
  <si>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</si>
  <si>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</si>
  <si>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</si>
  <si>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</si>
  <si>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</si>
  <si>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</si>
  <si>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</si>
  <si>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</si>
  <si>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</si>
  <si>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</si>
  <si>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</si>
  <si>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</si>
  <si>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</si>
  <si>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</si>
  <si>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 xml:space="preserve">Инвестиции и оборудование, не входящие в сметы строек производственного назначения  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</si>
  <si>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</si>
  <si>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</si>
  <si>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</si>
  <si>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</si>
  <si>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</si>
  <si>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</si>
  <si>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</si>
  <si>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</si>
  <si>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</si>
  <si>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</si>
  <si>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</si>
  <si>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</si>
  <si>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</si>
  <si>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</si>
  <si>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</si>
  <si>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</si>
  <si>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</si>
  <si>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</si>
  <si>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</si>
  <si>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</si>
  <si>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</si>
  <si>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</si>
  <si>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</si>
  <si>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</si>
  <si>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2.2</t>
  </si>
  <si>
    <t>Инвестиции в объекты непроизводственного назначения и социальной сферы</t>
  </si>
  <si>
    <t>2.2.1</t>
  </si>
  <si>
    <t>2.2.2</t>
  </si>
  <si>
    <t>2.2.3</t>
  </si>
  <si>
    <t>2.2.4</t>
  </si>
  <si>
    <t>2.3</t>
  </si>
  <si>
    <t xml:space="preserve">Прочие инвестиции (ОС, НМА, объекты автоматизации хозяйственного назначения, НИОКР)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</si>
  <si>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</si>
  <si>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</si>
  <si>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</si>
  <si>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</si>
  <si>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</si>
  <si>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</si>
  <si>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</si>
  <si>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</si>
  <si>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</si>
  <si>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</si>
  <si>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</t>
  </si>
  <si>
    <t>Прочие инвестиции (накопление средсв)</t>
  </si>
  <si>
    <t>Перечень инвестиционных проектов на период реализации инвестиционной программы и план их финансирования филиала "Северо-Западная ТЭЦ"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</si>
</sst>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0"/>
    <numFmt numFmtId="175" formatCode="0.00000"/>
    <numFmt numFmtId="176" formatCode="#,##0;\-#,##0;0;[Red]&quot;Текст!:&quot;@"/>
    <numFmt numFmtId="177" formatCode="0.00000000"/>
    <numFmt numFmtId="178" formatCode="0.0000000"/>
    <numFmt numFmtId="179" formatCode="\ 0&quot; кв&quot;\ 0000;;\ &quot;-&quot;;[Red]&quot;Текст!:&quot;@"/>
    <numFmt numFmtId="180" formatCode="0.0"/>
  </numFmts>
  <fonts count="4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9" fontId="1" fillId="0" borderId="19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2"/>
  <sheetViews>
    <sheetView tabSelected="1" zoomScale="110" zoomScaleNormal="110" zoomScaleSheetLayoutView="120" zoomScalePageLayoutView="0" workbookViewId="0" topLeftCell="A1">
      <pane xSplit="31" ySplit="11" topLeftCell="AF12" activePane="bottomRight" state="frozen"/>
      <selection pane="topLeft" activeCell="A1" sqref="A1"/>
      <selection pane="topRight" activeCell="AF1" sqref="AF1"/>
      <selection pane="bottomLeft" activeCell="A12" sqref="A12"/>
      <selection pane="bottomRight" activeCell="GG15" sqref="GG15:GP15"/>
    </sheetView>
  </sheetViews>
  <sheetFormatPr defaultColWidth="0.875" defaultRowHeight="12.75"/>
  <cols>
    <col min="1" max="30" width="0.875" style="1" customWidth="1"/>
    <col min="31" max="31" width="2.00390625" style="1" customWidth="1"/>
    <col min="32" max="219" width="0.875" style="1" customWidth="1"/>
    <col min="220" max="16384" width="0.875" style="1" customWidth="1"/>
  </cols>
  <sheetData>
    <row r="1" spans="228:250" s="2" customFormat="1" ht="29.25" customHeight="1">
      <c r="HT1" s="91" t="s">
        <v>8</v>
      </c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</row>
    <row r="2" spans="1:250" s="4" customFormat="1" ht="22.5" customHeight="1">
      <c r="A2" s="70" t="s">
        <v>203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</row>
    <row r="3" spans="228:250" ht="22.5" customHeight="1">
      <c r="HT3" s="92" t="s">
        <v>9</v>
      </c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</row>
    <row r="4" spans="223:250" ht="11.25"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223:250" ht="12.75" customHeight="1">
      <c r="HO5" s="72" t="s">
        <v>10</v>
      </c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</row>
    <row r="6" spans="229:250" ht="11.25"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71">
        <v>20</v>
      </c>
      <c r="IG6" s="71"/>
      <c r="IH6" s="71"/>
      <c r="II6" s="93"/>
      <c r="IJ6" s="93"/>
      <c r="IK6" s="93"/>
      <c r="IM6" s="5" t="s">
        <v>12</v>
      </c>
      <c r="IP6" s="5"/>
    </row>
    <row r="7" ht="11.25">
      <c r="IP7" s="3" t="s">
        <v>11</v>
      </c>
    </row>
    <row r="8" ht="12" thickBot="1"/>
    <row r="9" spans="1:250" ht="11.25">
      <c r="A9" s="80" t="s">
        <v>0</v>
      </c>
      <c r="B9" s="75"/>
      <c r="C9" s="75"/>
      <c r="D9" s="75"/>
      <c r="E9" s="76"/>
      <c r="F9" s="74" t="s">
        <v>1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6"/>
      <c r="AF9" s="74" t="s">
        <v>2</v>
      </c>
      <c r="AG9" s="75"/>
      <c r="AH9" s="75"/>
      <c r="AI9" s="75"/>
      <c r="AJ9" s="75"/>
      <c r="AK9" s="75"/>
      <c r="AL9" s="75"/>
      <c r="AM9" s="75"/>
      <c r="AN9" s="75"/>
      <c r="AO9" s="76"/>
      <c r="AP9" s="74" t="s">
        <v>3</v>
      </c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74" t="s">
        <v>19</v>
      </c>
      <c r="BH9" s="75"/>
      <c r="BI9" s="75"/>
      <c r="BJ9" s="75"/>
      <c r="BK9" s="75"/>
      <c r="BL9" s="75"/>
      <c r="BM9" s="75"/>
      <c r="BN9" s="75"/>
      <c r="BO9" s="75"/>
      <c r="BP9" s="76"/>
      <c r="BQ9" s="74" t="s">
        <v>20</v>
      </c>
      <c r="BR9" s="75"/>
      <c r="BS9" s="75"/>
      <c r="BT9" s="75"/>
      <c r="BU9" s="75"/>
      <c r="BV9" s="75"/>
      <c r="BW9" s="75"/>
      <c r="BX9" s="75"/>
      <c r="BY9" s="75"/>
      <c r="BZ9" s="76"/>
      <c r="CA9" s="74" t="s">
        <v>26</v>
      </c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6"/>
      <c r="CO9" s="74" t="s">
        <v>27</v>
      </c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6"/>
      <c r="DC9" s="74" t="s">
        <v>6</v>
      </c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6"/>
      <c r="DQ9" s="88" t="s">
        <v>29</v>
      </c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95"/>
      <c r="GG9" s="88" t="s">
        <v>7</v>
      </c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90"/>
    </row>
    <row r="10" spans="1:250" ht="33.75" customHeight="1">
      <c r="A10" s="81"/>
      <c r="B10" s="82"/>
      <c r="C10" s="82"/>
      <c r="D10" s="82"/>
      <c r="E10" s="83"/>
      <c r="F10" s="96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3"/>
      <c r="AF10" s="77"/>
      <c r="AG10" s="78"/>
      <c r="AH10" s="78"/>
      <c r="AI10" s="78"/>
      <c r="AJ10" s="78"/>
      <c r="AK10" s="78"/>
      <c r="AL10" s="78"/>
      <c r="AM10" s="78"/>
      <c r="AN10" s="78"/>
      <c r="AO10" s="79"/>
      <c r="AP10" s="77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96"/>
      <c r="BH10" s="82"/>
      <c r="BI10" s="82"/>
      <c r="BJ10" s="82"/>
      <c r="BK10" s="82"/>
      <c r="BL10" s="82"/>
      <c r="BM10" s="82"/>
      <c r="BN10" s="82"/>
      <c r="BO10" s="82"/>
      <c r="BP10" s="83"/>
      <c r="BQ10" s="96"/>
      <c r="BR10" s="82"/>
      <c r="BS10" s="82"/>
      <c r="BT10" s="82"/>
      <c r="BU10" s="82"/>
      <c r="BV10" s="82"/>
      <c r="BW10" s="82"/>
      <c r="BX10" s="82"/>
      <c r="BY10" s="82"/>
      <c r="BZ10" s="83"/>
      <c r="CA10" s="77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9"/>
      <c r="CO10" s="77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9"/>
      <c r="DC10" s="77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9"/>
      <c r="DQ10" s="45" t="s">
        <v>21</v>
      </c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7"/>
      <c r="EH10" s="45" t="s">
        <v>22</v>
      </c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7"/>
      <c r="EY10" s="45" t="s">
        <v>28</v>
      </c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7"/>
      <c r="FP10" s="45" t="s">
        <v>23</v>
      </c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7"/>
      <c r="GG10" s="45" t="s">
        <v>116</v>
      </c>
      <c r="GH10" s="46"/>
      <c r="GI10" s="46"/>
      <c r="GJ10" s="46"/>
      <c r="GK10" s="46"/>
      <c r="GL10" s="46"/>
      <c r="GM10" s="46"/>
      <c r="GN10" s="46"/>
      <c r="GO10" s="46"/>
      <c r="GP10" s="47"/>
      <c r="GQ10" s="45" t="s">
        <v>117</v>
      </c>
      <c r="GR10" s="46"/>
      <c r="GS10" s="46"/>
      <c r="GT10" s="46"/>
      <c r="GU10" s="46"/>
      <c r="GV10" s="46"/>
      <c r="GW10" s="46"/>
      <c r="GX10" s="46"/>
      <c r="GY10" s="46"/>
      <c r="GZ10" s="47"/>
      <c r="HA10" s="45" t="s">
        <v>118</v>
      </c>
      <c r="HB10" s="46"/>
      <c r="HC10" s="46"/>
      <c r="HD10" s="46"/>
      <c r="HE10" s="46"/>
      <c r="HF10" s="46"/>
      <c r="HG10" s="46"/>
      <c r="HH10" s="46"/>
      <c r="HI10" s="46"/>
      <c r="HJ10" s="47"/>
      <c r="HK10" s="45" t="s">
        <v>119</v>
      </c>
      <c r="HL10" s="46"/>
      <c r="HM10" s="46"/>
      <c r="HN10" s="46"/>
      <c r="HO10" s="46"/>
      <c r="HP10" s="46"/>
      <c r="HQ10" s="46"/>
      <c r="HR10" s="46"/>
      <c r="HS10" s="46"/>
      <c r="HT10" s="47"/>
      <c r="HU10" s="45" t="s">
        <v>120</v>
      </c>
      <c r="HV10" s="46"/>
      <c r="HW10" s="46"/>
      <c r="HX10" s="46"/>
      <c r="HY10" s="46"/>
      <c r="HZ10" s="46"/>
      <c r="IA10" s="46"/>
      <c r="IB10" s="46"/>
      <c r="IC10" s="46"/>
      <c r="ID10" s="47"/>
      <c r="IE10" s="45" t="s">
        <v>23</v>
      </c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73"/>
    </row>
    <row r="11" spans="1:250" ht="12" thickBot="1">
      <c r="A11" s="84"/>
      <c r="B11" s="85"/>
      <c r="C11" s="85"/>
      <c r="D11" s="85"/>
      <c r="E11" s="86"/>
      <c r="F11" s="97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/>
      <c r="AF11" s="48" t="s">
        <v>25</v>
      </c>
      <c r="AG11" s="49"/>
      <c r="AH11" s="49"/>
      <c r="AI11" s="49"/>
      <c r="AJ11" s="49"/>
      <c r="AK11" s="49"/>
      <c r="AL11" s="49"/>
      <c r="AM11" s="49"/>
      <c r="AN11" s="49"/>
      <c r="AO11" s="50"/>
      <c r="AP11" s="48" t="s">
        <v>4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0"/>
      <c r="BG11" s="97"/>
      <c r="BH11" s="85"/>
      <c r="BI11" s="85"/>
      <c r="BJ11" s="85"/>
      <c r="BK11" s="85"/>
      <c r="BL11" s="85"/>
      <c r="BM11" s="85"/>
      <c r="BN11" s="85"/>
      <c r="BO11" s="85"/>
      <c r="BP11" s="86"/>
      <c r="BQ11" s="97"/>
      <c r="BR11" s="85"/>
      <c r="BS11" s="85"/>
      <c r="BT11" s="85"/>
      <c r="BU11" s="85"/>
      <c r="BV11" s="85"/>
      <c r="BW11" s="85"/>
      <c r="BX11" s="85"/>
      <c r="BY11" s="85"/>
      <c r="BZ11" s="86"/>
      <c r="CA11" s="48" t="s">
        <v>5</v>
      </c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50"/>
      <c r="CO11" s="48" t="s">
        <v>5</v>
      </c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50"/>
      <c r="DC11" s="48" t="s">
        <v>5</v>
      </c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0"/>
      <c r="DQ11" s="48" t="s">
        <v>4</v>
      </c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50"/>
      <c r="EH11" s="48" t="s">
        <v>4</v>
      </c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50"/>
      <c r="EY11" s="48" t="s">
        <v>4</v>
      </c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50"/>
      <c r="FP11" s="48" t="s">
        <v>4</v>
      </c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50"/>
      <c r="GG11" s="48" t="s">
        <v>5</v>
      </c>
      <c r="GH11" s="49"/>
      <c r="GI11" s="49"/>
      <c r="GJ11" s="49"/>
      <c r="GK11" s="49"/>
      <c r="GL11" s="49"/>
      <c r="GM11" s="49"/>
      <c r="GN11" s="49"/>
      <c r="GO11" s="49"/>
      <c r="GP11" s="50"/>
      <c r="GQ11" s="48" t="s">
        <v>5</v>
      </c>
      <c r="GR11" s="49"/>
      <c r="GS11" s="49"/>
      <c r="GT11" s="49"/>
      <c r="GU11" s="49"/>
      <c r="GV11" s="49"/>
      <c r="GW11" s="49"/>
      <c r="GX11" s="49"/>
      <c r="GY11" s="49"/>
      <c r="GZ11" s="50"/>
      <c r="HA11" s="48" t="s">
        <v>5</v>
      </c>
      <c r="HB11" s="49"/>
      <c r="HC11" s="49"/>
      <c r="HD11" s="49"/>
      <c r="HE11" s="49"/>
      <c r="HF11" s="49"/>
      <c r="HG11" s="49"/>
      <c r="HH11" s="49"/>
      <c r="HI11" s="49"/>
      <c r="HJ11" s="50"/>
      <c r="HK11" s="48" t="s">
        <v>5</v>
      </c>
      <c r="HL11" s="49"/>
      <c r="HM11" s="49"/>
      <c r="HN11" s="49"/>
      <c r="HO11" s="49"/>
      <c r="HP11" s="49"/>
      <c r="HQ11" s="49"/>
      <c r="HR11" s="49"/>
      <c r="HS11" s="49"/>
      <c r="HT11" s="50"/>
      <c r="HU11" s="48" t="s">
        <v>5</v>
      </c>
      <c r="HV11" s="49"/>
      <c r="HW11" s="49"/>
      <c r="HX11" s="49"/>
      <c r="HY11" s="49"/>
      <c r="HZ11" s="49"/>
      <c r="IA11" s="49"/>
      <c r="IB11" s="49"/>
      <c r="IC11" s="49"/>
      <c r="ID11" s="50"/>
      <c r="IE11" s="48" t="s">
        <v>5</v>
      </c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87"/>
    </row>
    <row r="12" spans="1:250" s="6" customFormat="1" ht="23.25" customHeight="1">
      <c r="A12" s="66"/>
      <c r="B12" s="67"/>
      <c r="C12" s="67"/>
      <c r="D12" s="67"/>
      <c r="E12" s="68"/>
      <c r="F12" s="62" t="s">
        <v>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3"/>
      <c r="AF12" s="62"/>
      <c r="AG12" s="60"/>
      <c r="AH12" s="60"/>
      <c r="AI12" s="60"/>
      <c r="AJ12" s="60"/>
      <c r="AK12" s="60"/>
      <c r="AL12" s="60"/>
      <c r="AM12" s="60"/>
      <c r="AN12" s="60"/>
      <c r="AO12" s="63"/>
      <c r="AP12" s="62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3"/>
      <c r="BG12" s="62"/>
      <c r="BH12" s="60"/>
      <c r="BI12" s="60"/>
      <c r="BJ12" s="60"/>
      <c r="BK12" s="60"/>
      <c r="BL12" s="60"/>
      <c r="BM12" s="60"/>
      <c r="BN12" s="60"/>
      <c r="BO12" s="60"/>
      <c r="BP12" s="63"/>
      <c r="BQ12" s="62"/>
      <c r="BR12" s="60"/>
      <c r="BS12" s="60"/>
      <c r="BT12" s="60"/>
      <c r="BU12" s="60"/>
      <c r="BV12" s="60"/>
      <c r="BW12" s="60"/>
      <c r="BX12" s="60"/>
      <c r="BY12" s="60"/>
      <c r="BZ12" s="63"/>
      <c r="CA12" s="59">
        <f>CA13+CA45</f>
        <v>571.5011705071732</v>
      </c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3"/>
      <c r="CO12" s="59">
        <f>CO13+CO45+CO86+0.01</f>
        <v>532.1093499999998</v>
      </c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3"/>
      <c r="DC12" s="59">
        <f>DC13+DC45</f>
        <v>106.4198699999999</v>
      </c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3"/>
      <c r="DQ12" s="62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3"/>
      <c r="EH12" s="62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3"/>
      <c r="EY12" s="62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3"/>
      <c r="FP12" s="62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3"/>
      <c r="GG12" s="59">
        <f>GG13+GG45</f>
        <v>106.4198699999999</v>
      </c>
      <c r="GH12" s="64"/>
      <c r="GI12" s="64"/>
      <c r="GJ12" s="64"/>
      <c r="GK12" s="64"/>
      <c r="GL12" s="64"/>
      <c r="GM12" s="64"/>
      <c r="GN12" s="64"/>
      <c r="GO12" s="64"/>
      <c r="GP12" s="65"/>
      <c r="GQ12" s="59">
        <f>GQ13+GQ45</f>
        <v>106.41987000000003</v>
      </c>
      <c r="GR12" s="64"/>
      <c r="GS12" s="64"/>
      <c r="GT12" s="64"/>
      <c r="GU12" s="64"/>
      <c r="GV12" s="64"/>
      <c r="GW12" s="64"/>
      <c r="GX12" s="64"/>
      <c r="GY12" s="64"/>
      <c r="GZ12" s="65"/>
      <c r="HA12" s="59">
        <f>HA13+HA45+HA86</f>
        <v>106.41987</v>
      </c>
      <c r="HB12" s="64"/>
      <c r="HC12" s="64"/>
      <c r="HD12" s="64"/>
      <c r="HE12" s="64"/>
      <c r="HF12" s="64"/>
      <c r="HG12" s="64"/>
      <c r="HH12" s="64"/>
      <c r="HI12" s="64"/>
      <c r="HJ12" s="65"/>
      <c r="HK12" s="59">
        <f>HK13+HK45</f>
        <v>106.41986999999993</v>
      </c>
      <c r="HL12" s="64"/>
      <c r="HM12" s="64"/>
      <c r="HN12" s="64"/>
      <c r="HO12" s="64"/>
      <c r="HP12" s="64"/>
      <c r="HQ12" s="64"/>
      <c r="HR12" s="64"/>
      <c r="HS12" s="64"/>
      <c r="HT12" s="65"/>
      <c r="HU12" s="59">
        <f>HU13+HU45+HU86</f>
        <v>106.41987</v>
      </c>
      <c r="HV12" s="64"/>
      <c r="HW12" s="64"/>
      <c r="HX12" s="64"/>
      <c r="HY12" s="64"/>
      <c r="HZ12" s="64"/>
      <c r="IA12" s="64"/>
      <c r="IB12" s="64"/>
      <c r="IC12" s="64"/>
      <c r="ID12" s="65"/>
      <c r="IE12" s="59">
        <f>SUM(GG12:ID12)+0.01</f>
        <v>532.10935</v>
      </c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1"/>
    </row>
    <row r="13" spans="1:250" s="6" customFormat="1" ht="21.75" customHeight="1">
      <c r="A13" s="13" t="s">
        <v>14</v>
      </c>
      <c r="B13" s="14"/>
      <c r="C13" s="14"/>
      <c r="D13" s="14"/>
      <c r="E13" s="15"/>
      <c r="F13" s="45" t="s">
        <v>15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4"/>
      <c r="AG13" s="38"/>
      <c r="AH13" s="38"/>
      <c r="AI13" s="38"/>
      <c r="AJ13" s="38"/>
      <c r="AK13" s="38"/>
      <c r="AL13" s="38"/>
      <c r="AM13" s="38"/>
      <c r="AN13" s="38"/>
      <c r="AO13" s="39"/>
      <c r="AP13" s="44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9"/>
      <c r="BG13" s="44"/>
      <c r="BH13" s="38"/>
      <c r="BI13" s="38"/>
      <c r="BJ13" s="38"/>
      <c r="BK13" s="38"/>
      <c r="BL13" s="38"/>
      <c r="BM13" s="38"/>
      <c r="BN13" s="38"/>
      <c r="BO13" s="38"/>
      <c r="BP13" s="39"/>
      <c r="BQ13" s="44"/>
      <c r="BR13" s="38"/>
      <c r="BS13" s="38"/>
      <c r="BT13" s="38"/>
      <c r="BU13" s="38"/>
      <c r="BV13" s="38"/>
      <c r="BW13" s="38"/>
      <c r="BX13" s="38"/>
      <c r="BY13" s="38"/>
      <c r="BZ13" s="39"/>
      <c r="CA13" s="32">
        <f>CA14+CA18+CA24+CA31</f>
        <v>483.36895324295415</v>
      </c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9"/>
      <c r="CO13" s="32">
        <f>CO14+CO18+CO24+CO31</f>
        <v>437.6256011638457</v>
      </c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2">
        <f>DC14+DC18+DC24+DC31</f>
        <v>99.29066556843935</v>
      </c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9"/>
      <c r="DQ13" s="44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9"/>
      <c r="EH13" s="44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9"/>
      <c r="EY13" s="44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9"/>
      <c r="FP13" s="44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9"/>
      <c r="GG13" s="32">
        <f>GG14+GG18+GG24+GG31</f>
        <v>99.29066556843935</v>
      </c>
      <c r="GH13" s="38"/>
      <c r="GI13" s="38"/>
      <c r="GJ13" s="38"/>
      <c r="GK13" s="38"/>
      <c r="GL13" s="38"/>
      <c r="GM13" s="38"/>
      <c r="GN13" s="38"/>
      <c r="GO13" s="38"/>
      <c r="GP13" s="39"/>
      <c r="GQ13" s="32">
        <f>GQ14+GQ18+GQ24+GQ31</f>
        <v>90.50806742268776</v>
      </c>
      <c r="GR13" s="38"/>
      <c r="GS13" s="38"/>
      <c r="GT13" s="38"/>
      <c r="GU13" s="38"/>
      <c r="GV13" s="38"/>
      <c r="GW13" s="38"/>
      <c r="GX13" s="38"/>
      <c r="GY13" s="38"/>
      <c r="GZ13" s="39"/>
      <c r="HA13" s="32">
        <f>HA14+HA18+HA24+HA31</f>
        <v>52.958</v>
      </c>
      <c r="HB13" s="38"/>
      <c r="HC13" s="38"/>
      <c r="HD13" s="38"/>
      <c r="HE13" s="38"/>
      <c r="HF13" s="38"/>
      <c r="HG13" s="38"/>
      <c r="HH13" s="38"/>
      <c r="HI13" s="38"/>
      <c r="HJ13" s="39"/>
      <c r="HK13" s="32">
        <f>HK14+HK18+HK24+HK31</f>
        <v>103.13086817271862</v>
      </c>
      <c r="HL13" s="38"/>
      <c r="HM13" s="38"/>
      <c r="HN13" s="38"/>
      <c r="HO13" s="38"/>
      <c r="HP13" s="38"/>
      <c r="HQ13" s="38"/>
      <c r="HR13" s="38"/>
      <c r="HS13" s="38"/>
      <c r="HT13" s="39"/>
      <c r="HU13" s="32">
        <f>HU14+HU18+HU24+HU31</f>
        <v>91.738</v>
      </c>
      <c r="HV13" s="38"/>
      <c r="HW13" s="38"/>
      <c r="HX13" s="38"/>
      <c r="HY13" s="38"/>
      <c r="HZ13" s="38"/>
      <c r="IA13" s="38"/>
      <c r="IB13" s="38"/>
      <c r="IC13" s="38"/>
      <c r="ID13" s="39"/>
      <c r="IE13" s="59">
        <f>SUM(GG13:ID13)+0.01</f>
        <v>437.6356011638457</v>
      </c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1"/>
    </row>
    <row r="14" spans="1:250" s="6" customFormat="1" ht="21.75" customHeight="1">
      <c r="A14" s="13" t="s">
        <v>30</v>
      </c>
      <c r="B14" s="14"/>
      <c r="C14" s="14"/>
      <c r="D14" s="14"/>
      <c r="E14" s="15"/>
      <c r="F14" s="45" t="s">
        <v>16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7"/>
      <c r="AF14" s="44"/>
      <c r="AG14" s="38"/>
      <c r="AH14" s="38"/>
      <c r="AI14" s="38"/>
      <c r="AJ14" s="38"/>
      <c r="AK14" s="38"/>
      <c r="AL14" s="38"/>
      <c r="AM14" s="38"/>
      <c r="AN14" s="38"/>
      <c r="AO14" s="39"/>
      <c r="AP14" s="44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9"/>
      <c r="BG14" s="44"/>
      <c r="BH14" s="38"/>
      <c r="BI14" s="38"/>
      <c r="BJ14" s="38"/>
      <c r="BK14" s="38"/>
      <c r="BL14" s="38"/>
      <c r="BM14" s="38"/>
      <c r="BN14" s="38"/>
      <c r="BO14" s="38"/>
      <c r="BP14" s="39"/>
      <c r="BQ14" s="44"/>
      <c r="BR14" s="38"/>
      <c r="BS14" s="38"/>
      <c r="BT14" s="38"/>
      <c r="BU14" s="38"/>
      <c r="BV14" s="38"/>
      <c r="BW14" s="38"/>
      <c r="BX14" s="38"/>
      <c r="BY14" s="38"/>
      <c r="BZ14" s="39"/>
      <c r="CA14" s="32">
        <f>SUM(CA15:CN17)</f>
        <v>105.4855648848143</v>
      </c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2">
        <f>SUM(CO15:DB17)</f>
        <v>74.1719648848143</v>
      </c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2">
        <f>SUM(DC15:DP17)</f>
        <v>74.1719648848143</v>
      </c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9"/>
      <c r="DQ14" s="44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9"/>
      <c r="EH14" s="44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9"/>
      <c r="EY14" s="44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9"/>
      <c r="FP14" s="44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9"/>
      <c r="GG14" s="32">
        <f>SUM(GG15:GP17)</f>
        <v>74.1719648848143</v>
      </c>
      <c r="GH14" s="38"/>
      <c r="GI14" s="38"/>
      <c r="GJ14" s="38"/>
      <c r="GK14" s="38"/>
      <c r="GL14" s="38"/>
      <c r="GM14" s="38"/>
      <c r="GN14" s="38"/>
      <c r="GO14" s="38"/>
      <c r="GP14" s="39"/>
      <c r="GQ14" s="32">
        <f>SUM(GQ15:GZ17)</f>
        <v>0</v>
      </c>
      <c r="GR14" s="38"/>
      <c r="GS14" s="38"/>
      <c r="GT14" s="38"/>
      <c r="GU14" s="38"/>
      <c r="GV14" s="38"/>
      <c r="GW14" s="38"/>
      <c r="GX14" s="38"/>
      <c r="GY14" s="38"/>
      <c r="GZ14" s="39"/>
      <c r="HA14" s="32">
        <f>SUM(HA15:HJ17)</f>
        <v>0</v>
      </c>
      <c r="HB14" s="38"/>
      <c r="HC14" s="38"/>
      <c r="HD14" s="38"/>
      <c r="HE14" s="38"/>
      <c r="HF14" s="38"/>
      <c r="HG14" s="38"/>
      <c r="HH14" s="38"/>
      <c r="HI14" s="38"/>
      <c r="HJ14" s="39"/>
      <c r="HK14" s="32">
        <f>SUM(HK15:HT17)</f>
        <v>0</v>
      </c>
      <c r="HL14" s="38"/>
      <c r="HM14" s="38"/>
      <c r="HN14" s="38"/>
      <c r="HO14" s="38"/>
      <c r="HP14" s="38"/>
      <c r="HQ14" s="38"/>
      <c r="HR14" s="38"/>
      <c r="HS14" s="38"/>
      <c r="HT14" s="39"/>
      <c r="HU14" s="32">
        <f>SUM(HU15:ID17)</f>
        <v>0</v>
      </c>
      <c r="HV14" s="38"/>
      <c r="HW14" s="38"/>
      <c r="HX14" s="38"/>
      <c r="HY14" s="38"/>
      <c r="HZ14" s="38"/>
      <c r="IA14" s="38"/>
      <c r="IB14" s="38"/>
      <c r="IC14" s="38"/>
      <c r="ID14" s="39"/>
      <c r="IE14" s="32">
        <f>SUM(GG14:ID14)</f>
        <v>74.1719648848143</v>
      </c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40"/>
    </row>
    <row r="15" spans="1:250" s="7" customFormat="1" ht="77.25" customHeight="1">
      <c r="A15" s="26" t="s">
        <v>131</v>
      </c>
      <c r="B15" s="27"/>
      <c r="C15" s="27"/>
      <c r="D15" s="27"/>
      <c r="E15" s="28"/>
      <c r="F15" s="23" t="s">
        <v>36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6" t="s">
        <v>35</v>
      </c>
      <c r="AG15" s="17"/>
      <c r="AH15" s="17"/>
      <c r="AI15" s="17"/>
      <c r="AJ15" s="17"/>
      <c r="AK15" s="17"/>
      <c r="AL15" s="17"/>
      <c r="AM15" s="17"/>
      <c r="AN15" s="17"/>
      <c r="AO15" s="18"/>
      <c r="AP15" s="16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8"/>
      <c r="BG15" s="16" t="s">
        <v>38</v>
      </c>
      <c r="BH15" s="17"/>
      <c r="BI15" s="17"/>
      <c r="BJ15" s="17"/>
      <c r="BK15" s="17"/>
      <c r="BL15" s="17"/>
      <c r="BM15" s="17"/>
      <c r="BN15" s="17"/>
      <c r="BO15" s="17"/>
      <c r="BP15" s="18"/>
      <c r="BQ15" s="16" t="s">
        <v>39</v>
      </c>
      <c r="BR15" s="17"/>
      <c r="BS15" s="17"/>
      <c r="BT15" s="17"/>
      <c r="BU15" s="17"/>
      <c r="BV15" s="17"/>
      <c r="BW15" s="17"/>
      <c r="BX15" s="17"/>
      <c r="BY15" s="17"/>
      <c r="BZ15" s="18"/>
      <c r="CA15" s="35">
        <f>CO15+13.3536</f>
        <v>82.00153225395886</v>
      </c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7"/>
      <c r="CO15" s="35">
        <f>IE15</f>
        <v>68.64793225395886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7"/>
      <c r="DC15" s="35">
        <f>GG15</f>
        <v>68.64793225395886</v>
      </c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7"/>
      <c r="DQ15" s="16" t="s">
        <v>43</v>
      </c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8"/>
      <c r="EH15" s="16" t="s">
        <v>43</v>
      </c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8"/>
      <c r="EY15" s="16" t="s">
        <v>43</v>
      </c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8"/>
      <c r="FP15" s="16" t="s">
        <v>43</v>
      </c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8"/>
      <c r="GG15" s="35">
        <f>565.932*0.121300672614305</f>
        <v>68.64793225395886</v>
      </c>
      <c r="GH15" s="36"/>
      <c r="GI15" s="36"/>
      <c r="GJ15" s="36"/>
      <c r="GK15" s="36"/>
      <c r="GL15" s="36"/>
      <c r="GM15" s="36"/>
      <c r="GN15" s="36"/>
      <c r="GO15" s="36"/>
      <c r="GP15" s="37"/>
      <c r="GQ15" s="35">
        <v>0</v>
      </c>
      <c r="GR15" s="36"/>
      <c r="GS15" s="36"/>
      <c r="GT15" s="36"/>
      <c r="GU15" s="36"/>
      <c r="GV15" s="36"/>
      <c r="GW15" s="36"/>
      <c r="GX15" s="36"/>
      <c r="GY15" s="36"/>
      <c r="GZ15" s="37"/>
      <c r="HA15" s="35">
        <v>0</v>
      </c>
      <c r="HB15" s="36"/>
      <c r="HC15" s="36"/>
      <c r="HD15" s="36"/>
      <c r="HE15" s="36"/>
      <c r="HF15" s="36"/>
      <c r="HG15" s="36"/>
      <c r="HH15" s="36"/>
      <c r="HI15" s="36"/>
      <c r="HJ15" s="37"/>
      <c r="HK15" s="35">
        <v>0</v>
      </c>
      <c r="HL15" s="36"/>
      <c r="HM15" s="36"/>
      <c r="HN15" s="36"/>
      <c r="HO15" s="36"/>
      <c r="HP15" s="36"/>
      <c r="HQ15" s="36"/>
      <c r="HR15" s="36"/>
      <c r="HS15" s="36"/>
      <c r="HT15" s="37"/>
      <c r="HU15" s="35">
        <v>0</v>
      </c>
      <c r="HV15" s="36"/>
      <c r="HW15" s="36"/>
      <c r="HX15" s="36"/>
      <c r="HY15" s="36"/>
      <c r="HZ15" s="36"/>
      <c r="IA15" s="36"/>
      <c r="IB15" s="36"/>
      <c r="IC15" s="36"/>
      <c r="ID15" s="37"/>
      <c r="IE15" s="35">
        <f aca="true" t="shared" si="0" ref="IE15:IE78">SUM(GG15:ID15)</f>
        <v>68.64793225395886</v>
      </c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42"/>
    </row>
    <row r="16" spans="1:250" s="7" customFormat="1" ht="62.25" customHeight="1">
      <c r="A16" s="26" t="s">
        <v>132</v>
      </c>
      <c r="B16" s="27"/>
      <c r="C16" s="27"/>
      <c r="D16" s="27"/>
      <c r="E16" s="28"/>
      <c r="F16" s="23" t="s">
        <v>34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6" t="s">
        <v>35</v>
      </c>
      <c r="AG16" s="17"/>
      <c r="AH16" s="17"/>
      <c r="AI16" s="17"/>
      <c r="AJ16" s="17"/>
      <c r="AK16" s="17"/>
      <c r="AL16" s="17"/>
      <c r="AM16" s="17"/>
      <c r="AN16" s="17"/>
      <c r="AO16" s="18"/>
      <c r="AP16" s="16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8"/>
      <c r="BG16" s="16" t="s">
        <v>40</v>
      </c>
      <c r="BH16" s="17"/>
      <c r="BI16" s="17"/>
      <c r="BJ16" s="17"/>
      <c r="BK16" s="17"/>
      <c r="BL16" s="17"/>
      <c r="BM16" s="17"/>
      <c r="BN16" s="17"/>
      <c r="BO16" s="17"/>
      <c r="BP16" s="18"/>
      <c r="BQ16" s="16" t="s">
        <v>41</v>
      </c>
      <c r="BR16" s="17"/>
      <c r="BS16" s="17"/>
      <c r="BT16" s="17"/>
      <c r="BU16" s="17"/>
      <c r="BV16" s="17"/>
      <c r="BW16" s="17"/>
      <c r="BX16" s="17"/>
      <c r="BY16" s="17"/>
      <c r="BZ16" s="18"/>
      <c r="CA16" s="35">
        <f>CO16</f>
        <v>4.717383157970321</v>
      </c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7"/>
      <c r="CO16" s="35">
        <f>IE16</f>
        <v>4.717383157970321</v>
      </c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7"/>
      <c r="DC16" s="35">
        <f>GG16</f>
        <v>4.717383157970321</v>
      </c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7"/>
      <c r="DQ16" s="16" t="s">
        <v>43</v>
      </c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8"/>
      <c r="EH16" s="16" t="s">
        <v>43</v>
      </c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8"/>
      <c r="EY16" s="16" t="s">
        <v>43</v>
      </c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8"/>
      <c r="FP16" s="16" t="s">
        <v>43</v>
      </c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8"/>
      <c r="GG16" s="35">
        <f>38.89*0.121300672614305</f>
        <v>4.717383157970321</v>
      </c>
      <c r="GH16" s="36"/>
      <c r="GI16" s="36"/>
      <c r="GJ16" s="36"/>
      <c r="GK16" s="36"/>
      <c r="GL16" s="36"/>
      <c r="GM16" s="36"/>
      <c r="GN16" s="36"/>
      <c r="GO16" s="36"/>
      <c r="GP16" s="37"/>
      <c r="GQ16" s="35">
        <v>0</v>
      </c>
      <c r="GR16" s="36"/>
      <c r="GS16" s="36"/>
      <c r="GT16" s="36"/>
      <c r="GU16" s="36"/>
      <c r="GV16" s="36"/>
      <c r="GW16" s="36"/>
      <c r="GX16" s="36"/>
      <c r="GY16" s="36"/>
      <c r="GZ16" s="37"/>
      <c r="HA16" s="35">
        <v>0</v>
      </c>
      <c r="HB16" s="36"/>
      <c r="HC16" s="36"/>
      <c r="HD16" s="36"/>
      <c r="HE16" s="36"/>
      <c r="HF16" s="36"/>
      <c r="HG16" s="36"/>
      <c r="HH16" s="36"/>
      <c r="HI16" s="36"/>
      <c r="HJ16" s="37"/>
      <c r="HK16" s="35">
        <v>0</v>
      </c>
      <c r="HL16" s="36"/>
      <c r="HM16" s="36"/>
      <c r="HN16" s="36"/>
      <c r="HO16" s="36"/>
      <c r="HP16" s="36"/>
      <c r="HQ16" s="36"/>
      <c r="HR16" s="36"/>
      <c r="HS16" s="36"/>
      <c r="HT16" s="37"/>
      <c r="HU16" s="35">
        <v>0</v>
      </c>
      <c r="HV16" s="36"/>
      <c r="HW16" s="36"/>
      <c r="HX16" s="36"/>
      <c r="HY16" s="36"/>
      <c r="HZ16" s="36"/>
      <c r="IA16" s="36"/>
      <c r="IB16" s="36"/>
      <c r="IC16" s="36"/>
      <c r="ID16" s="37"/>
      <c r="IE16" s="35">
        <f t="shared" si="0"/>
        <v>4.717383157970321</v>
      </c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42"/>
    </row>
    <row r="17" spans="1:250" s="7" customFormat="1" ht="74.25" customHeight="1">
      <c r="A17" s="26" t="s">
        <v>133</v>
      </c>
      <c r="B17" s="27"/>
      <c r="C17" s="27"/>
      <c r="D17" s="27"/>
      <c r="E17" s="28"/>
      <c r="F17" s="23" t="s">
        <v>37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6" t="s">
        <v>35</v>
      </c>
      <c r="AG17" s="17"/>
      <c r="AH17" s="17"/>
      <c r="AI17" s="17"/>
      <c r="AJ17" s="17"/>
      <c r="AK17" s="17"/>
      <c r="AL17" s="17"/>
      <c r="AM17" s="17"/>
      <c r="AN17" s="17"/>
      <c r="AO17" s="18"/>
      <c r="AP17" s="16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8"/>
      <c r="BG17" s="16" t="s">
        <v>38</v>
      </c>
      <c r="BH17" s="17"/>
      <c r="BI17" s="17"/>
      <c r="BJ17" s="17"/>
      <c r="BK17" s="17"/>
      <c r="BL17" s="17"/>
      <c r="BM17" s="17"/>
      <c r="BN17" s="17"/>
      <c r="BO17" s="17"/>
      <c r="BP17" s="18"/>
      <c r="BQ17" s="16" t="s">
        <v>41</v>
      </c>
      <c r="BR17" s="17"/>
      <c r="BS17" s="17"/>
      <c r="BT17" s="17"/>
      <c r="BU17" s="17"/>
      <c r="BV17" s="17"/>
      <c r="BW17" s="17"/>
      <c r="BX17" s="17"/>
      <c r="BY17" s="17"/>
      <c r="BZ17" s="18"/>
      <c r="CA17" s="35">
        <f>CO17+17.96</f>
        <v>18.766649472885128</v>
      </c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7"/>
      <c r="CO17" s="35">
        <f>IE17</f>
        <v>0.8066494728851282</v>
      </c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7"/>
      <c r="DC17" s="35">
        <f>GG17</f>
        <v>0.8066494728851282</v>
      </c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7"/>
      <c r="DQ17" s="16" t="s">
        <v>43</v>
      </c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8"/>
      <c r="EH17" s="16" t="s">
        <v>43</v>
      </c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8"/>
      <c r="EY17" s="16" t="s">
        <v>43</v>
      </c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8"/>
      <c r="FP17" s="16" t="s">
        <v>43</v>
      </c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8"/>
      <c r="GG17" s="35">
        <f>6.65*0.121300672614305</f>
        <v>0.8066494728851282</v>
      </c>
      <c r="GH17" s="36"/>
      <c r="GI17" s="36"/>
      <c r="GJ17" s="36"/>
      <c r="GK17" s="36"/>
      <c r="GL17" s="36"/>
      <c r="GM17" s="36"/>
      <c r="GN17" s="36"/>
      <c r="GO17" s="36"/>
      <c r="GP17" s="37"/>
      <c r="GQ17" s="35">
        <v>0</v>
      </c>
      <c r="GR17" s="36"/>
      <c r="GS17" s="36"/>
      <c r="GT17" s="36"/>
      <c r="GU17" s="36"/>
      <c r="GV17" s="36"/>
      <c r="GW17" s="36"/>
      <c r="GX17" s="36"/>
      <c r="GY17" s="36"/>
      <c r="GZ17" s="37"/>
      <c r="HA17" s="35">
        <v>0</v>
      </c>
      <c r="HB17" s="36"/>
      <c r="HC17" s="36"/>
      <c r="HD17" s="36"/>
      <c r="HE17" s="36"/>
      <c r="HF17" s="36"/>
      <c r="HG17" s="36"/>
      <c r="HH17" s="36"/>
      <c r="HI17" s="36"/>
      <c r="HJ17" s="37"/>
      <c r="HK17" s="35">
        <v>0</v>
      </c>
      <c r="HL17" s="36"/>
      <c r="HM17" s="36"/>
      <c r="HN17" s="36"/>
      <c r="HO17" s="36"/>
      <c r="HP17" s="36"/>
      <c r="HQ17" s="36"/>
      <c r="HR17" s="36"/>
      <c r="HS17" s="36"/>
      <c r="HT17" s="37"/>
      <c r="HU17" s="35">
        <v>0</v>
      </c>
      <c r="HV17" s="36"/>
      <c r="HW17" s="36"/>
      <c r="HX17" s="36"/>
      <c r="HY17" s="36"/>
      <c r="HZ17" s="36"/>
      <c r="IA17" s="36"/>
      <c r="IB17" s="36"/>
      <c r="IC17" s="36"/>
      <c r="ID17" s="37"/>
      <c r="IE17" s="35">
        <f t="shared" si="0"/>
        <v>0.8066494728851282</v>
      </c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42"/>
    </row>
    <row r="18" spans="1:250" s="6" customFormat="1" ht="33" customHeight="1">
      <c r="A18" s="13" t="s">
        <v>31</v>
      </c>
      <c r="B18" s="14"/>
      <c r="C18" s="14"/>
      <c r="D18" s="14"/>
      <c r="E18" s="15"/>
      <c r="F18" s="45" t="s">
        <v>24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  <c r="AF18" s="44"/>
      <c r="AG18" s="38"/>
      <c r="AH18" s="38"/>
      <c r="AI18" s="38"/>
      <c r="AJ18" s="38"/>
      <c r="AK18" s="38"/>
      <c r="AL18" s="38"/>
      <c r="AM18" s="38"/>
      <c r="AN18" s="38"/>
      <c r="AO18" s="39"/>
      <c r="AP18" s="44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9"/>
      <c r="BG18" s="44"/>
      <c r="BH18" s="38"/>
      <c r="BI18" s="38"/>
      <c r="BJ18" s="38"/>
      <c r="BK18" s="38"/>
      <c r="BL18" s="38"/>
      <c r="BM18" s="38"/>
      <c r="BN18" s="38"/>
      <c r="BO18" s="38"/>
      <c r="BP18" s="39"/>
      <c r="BQ18" s="44"/>
      <c r="BR18" s="38"/>
      <c r="BS18" s="38"/>
      <c r="BT18" s="38"/>
      <c r="BU18" s="38"/>
      <c r="BV18" s="38"/>
      <c r="BW18" s="38"/>
      <c r="BX18" s="38"/>
      <c r="BY18" s="38"/>
      <c r="BZ18" s="39"/>
      <c r="CA18" s="32">
        <f>SUM(CA19:CN23)</f>
        <v>192.8105666151074</v>
      </c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9"/>
      <c r="CO18" s="32">
        <f>CO19+CO20+CO21+CO22+CO23</f>
        <v>186.15561941510737</v>
      </c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32">
        <f>SUM(DC19:DP23)</f>
        <v>2.79598050375973</v>
      </c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16" t="s">
        <v>43</v>
      </c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8"/>
      <c r="EH18" s="16" t="s">
        <v>43</v>
      </c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8"/>
      <c r="EY18" s="16" t="s">
        <v>43</v>
      </c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8"/>
      <c r="FP18" s="16" t="s">
        <v>43</v>
      </c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8"/>
      <c r="GG18" s="32">
        <f>SUM(GG19:GP23)</f>
        <v>2.79598050375973</v>
      </c>
      <c r="GH18" s="33"/>
      <c r="GI18" s="33"/>
      <c r="GJ18" s="33"/>
      <c r="GK18" s="33"/>
      <c r="GL18" s="33"/>
      <c r="GM18" s="33"/>
      <c r="GN18" s="33"/>
      <c r="GO18" s="33"/>
      <c r="GP18" s="34"/>
      <c r="GQ18" s="32">
        <f>SUM(GQ19:GZ23)</f>
        <v>32.483320564271054</v>
      </c>
      <c r="GR18" s="33"/>
      <c r="GS18" s="33"/>
      <c r="GT18" s="33"/>
      <c r="GU18" s="33"/>
      <c r="GV18" s="33"/>
      <c r="GW18" s="33"/>
      <c r="GX18" s="33"/>
      <c r="GY18" s="33"/>
      <c r="GZ18" s="34"/>
      <c r="HA18" s="32">
        <f>SUM(HA19:HJ23)</f>
        <v>25.880000000000003</v>
      </c>
      <c r="HB18" s="33"/>
      <c r="HC18" s="33"/>
      <c r="HD18" s="33"/>
      <c r="HE18" s="33"/>
      <c r="HF18" s="33"/>
      <c r="HG18" s="33"/>
      <c r="HH18" s="33"/>
      <c r="HI18" s="33"/>
      <c r="HJ18" s="34"/>
      <c r="HK18" s="32">
        <f>SUM(HK19:HT23)</f>
        <v>55.15531834707661</v>
      </c>
      <c r="HL18" s="33"/>
      <c r="HM18" s="33"/>
      <c r="HN18" s="33"/>
      <c r="HO18" s="33"/>
      <c r="HP18" s="33"/>
      <c r="HQ18" s="33"/>
      <c r="HR18" s="33"/>
      <c r="HS18" s="33"/>
      <c r="HT18" s="34"/>
      <c r="HU18" s="32">
        <f>SUM(HU19:ID23)</f>
        <v>69.841</v>
      </c>
      <c r="HV18" s="33"/>
      <c r="HW18" s="33"/>
      <c r="HX18" s="33"/>
      <c r="HY18" s="33"/>
      <c r="HZ18" s="33"/>
      <c r="IA18" s="33"/>
      <c r="IB18" s="33"/>
      <c r="IC18" s="33"/>
      <c r="ID18" s="34"/>
      <c r="IE18" s="32">
        <f t="shared" si="0"/>
        <v>186.15561941510737</v>
      </c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41"/>
    </row>
    <row r="19" spans="1:250" s="7" customFormat="1" ht="46.5" customHeight="1">
      <c r="A19" s="26" t="s">
        <v>134</v>
      </c>
      <c r="B19" s="27"/>
      <c r="C19" s="27"/>
      <c r="D19" s="27"/>
      <c r="E19" s="28"/>
      <c r="F19" s="23" t="s">
        <v>44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6"/>
      <c r="AG19" s="17"/>
      <c r="AH19" s="17"/>
      <c r="AI19" s="17"/>
      <c r="AJ19" s="17"/>
      <c r="AK19" s="17"/>
      <c r="AL19" s="17"/>
      <c r="AM19" s="17"/>
      <c r="AN19" s="17"/>
      <c r="AO19" s="18"/>
      <c r="AP19" s="16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8"/>
      <c r="BG19" s="58" t="s">
        <v>49</v>
      </c>
      <c r="BH19" s="27"/>
      <c r="BI19" s="27"/>
      <c r="BJ19" s="27"/>
      <c r="BK19" s="27"/>
      <c r="BL19" s="27"/>
      <c r="BM19" s="27"/>
      <c r="BN19" s="27"/>
      <c r="BO19" s="27"/>
      <c r="BP19" s="28"/>
      <c r="BQ19" s="16" t="s">
        <v>50</v>
      </c>
      <c r="BR19" s="17"/>
      <c r="BS19" s="17"/>
      <c r="BT19" s="17"/>
      <c r="BU19" s="17"/>
      <c r="BV19" s="17"/>
      <c r="BW19" s="17"/>
      <c r="BX19" s="17"/>
      <c r="BY19" s="17"/>
      <c r="BZ19" s="18"/>
      <c r="CA19" s="35">
        <v>69.8407072</v>
      </c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7"/>
      <c r="CO19" s="35">
        <f>IE19</f>
        <v>69.841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7"/>
      <c r="DC19" s="35">
        <f>GG19</f>
        <v>0</v>
      </c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7"/>
      <c r="DQ19" s="16" t="s">
        <v>43</v>
      </c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8"/>
      <c r="EH19" s="16" t="s">
        <v>43</v>
      </c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8"/>
      <c r="EY19" s="16" t="s">
        <v>43</v>
      </c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8"/>
      <c r="FP19" s="16" t="s">
        <v>43</v>
      </c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8"/>
      <c r="GG19" s="35">
        <v>0</v>
      </c>
      <c r="GH19" s="36"/>
      <c r="GI19" s="36"/>
      <c r="GJ19" s="36"/>
      <c r="GK19" s="36"/>
      <c r="GL19" s="36"/>
      <c r="GM19" s="36"/>
      <c r="GN19" s="36"/>
      <c r="GO19" s="36"/>
      <c r="GP19" s="37"/>
      <c r="GQ19" s="35">
        <v>0</v>
      </c>
      <c r="GR19" s="36"/>
      <c r="GS19" s="36"/>
      <c r="GT19" s="36"/>
      <c r="GU19" s="36"/>
      <c r="GV19" s="36"/>
      <c r="GW19" s="36"/>
      <c r="GX19" s="36"/>
      <c r="GY19" s="36"/>
      <c r="GZ19" s="37"/>
      <c r="HA19" s="35">
        <v>0</v>
      </c>
      <c r="HB19" s="36"/>
      <c r="HC19" s="36"/>
      <c r="HD19" s="36"/>
      <c r="HE19" s="36"/>
      <c r="HF19" s="36"/>
      <c r="HG19" s="36"/>
      <c r="HH19" s="36"/>
      <c r="HI19" s="36"/>
      <c r="HJ19" s="37"/>
      <c r="HK19" s="35">
        <v>0</v>
      </c>
      <c r="HL19" s="36"/>
      <c r="HM19" s="36"/>
      <c r="HN19" s="36"/>
      <c r="HO19" s="36"/>
      <c r="HP19" s="36"/>
      <c r="HQ19" s="36"/>
      <c r="HR19" s="36"/>
      <c r="HS19" s="36"/>
      <c r="HT19" s="37"/>
      <c r="HU19" s="35">
        <v>69.841</v>
      </c>
      <c r="HV19" s="36"/>
      <c r="HW19" s="36"/>
      <c r="HX19" s="36"/>
      <c r="HY19" s="36"/>
      <c r="HZ19" s="36"/>
      <c r="IA19" s="36"/>
      <c r="IB19" s="36"/>
      <c r="IC19" s="36"/>
      <c r="ID19" s="37"/>
      <c r="IE19" s="35">
        <f>SUM(GG19:ID19)</f>
        <v>69.841</v>
      </c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42"/>
    </row>
    <row r="20" spans="1:250" s="7" customFormat="1" ht="46.5" customHeight="1">
      <c r="A20" s="26" t="s">
        <v>135</v>
      </c>
      <c r="B20" s="27"/>
      <c r="C20" s="27"/>
      <c r="D20" s="27"/>
      <c r="E20" s="28"/>
      <c r="F20" s="23" t="s">
        <v>45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6"/>
      <c r="AG20" s="17"/>
      <c r="AH20" s="17"/>
      <c r="AI20" s="17"/>
      <c r="AJ20" s="17"/>
      <c r="AK20" s="17"/>
      <c r="AL20" s="17"/>
      <c r="AM20" s="17"/>
      <c r="AN20" s="17"/>
      <c r="AO20" s="18"/>
      <c r="AP20" s="16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8"/>
      <c r="BG20" s="16" t="s">
        <v>39</v>
      </c>
      <c r="BH20" s="17"/>
      <c r="BI20" s="17"/>
      <c r="BJ20" s="17"/>
      <c r="BK20" s="17"/>
      <c r="BL20" s="17"/>
      <c r="BM20" s="17"/>
      <c r="BN20" s="17"/>
      <c r="BO20" s="17"/>
      <c r="BP20" s="18"/>
      <c r="BQ20" s="16" t="s">
        <v>51</v>
      </c>
      <c r="BR20" s="17"/>
      <c r="BS20" s="17"/>
      <c r="BT20" s="17"/>
      <c r="BU20" s="17"/>
      <c r="BV20" s="17"/>
      <c r="BW20" s="17"/>
      <c r="BX20" s="17"/>
      <c r="BY20" s="17"/>
      <c r="BZ20" s="18"/>
      <c r="CA20" s="35">
        <f>CO20</f>
        <v>22.706076740249735</v>
      </c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7"/>
      <c r="CO20" s="35">
        <f>IE20</f>
        <v>22.706076740249735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7"/>
      <c r="DC20" s="35">
        <f>GG20</f>
        <v>1.9421450692276372</v>
      </c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7"/>
      <c r="DQ20" s="16" t="s">
        <v>43</v>
      </c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8"/>
      <c r="EH20" s="16" t="s">
        <v>43</v>
      </c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8"/>
      <c r="EY20" s="16" t="s">
        <v>43</v>
      </c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8"/>
      <c r="FP20" s="16" t="s">
        <v>43</v>
      </c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8"/>
      <c r="GG20" s="35">
        <f>16.011*0.121300672614305</f>
        <v>1.9421450692276372</v>
      </c>
      <c r="GH20" s="36"/>
      <c r="GI20" s="36"/>
      <c r="GJ20" s="36"/>
      <c r="GK20" s="36"/>
      <c r="GL20" s="36"/>
      <c r="GM20" s="36"/>
      <c r="GN20" s="36"/>
      <c r="GO20" s="36"/>
      <c r="GP20" s="37"/>
      <c r="GQ20" s="35">
        <f>46.739*0.444252801108755</f>
        <v>20.763931671022096</v>
      </c>
      <c r="GR20" s="36"/>
      <c r="GS20" s="36"/>
      <c r="GT20" s="36"/>
      <c r="GU20" s="36"/>
      <c r="GV20" s="36"/>
      <c r="GW20" s="36"/>
      <c r="GX20" s="36"/>
      <c r="GY20" s="36"/>
      <c r="GZ20" s="37"/>
      <c r="HA20" s="35">
        <v>0</v>
      </c>
      <c r="HB20" s="36"/>
      <c r="HC20" s="36"/>
      <c r="HD20" s="36"/>
      <c r="HE20" s="36"/>
      <c r="HF20" s="36"/>
      <c r="HG20" s="36"/>
      <c r="HH20" s="36"/>
      <c r="HI20" s="36"/>
      <c r="HJ20" s="37"/>
      <c r="HK20" s="35">
        <v>0</v>
      </c>
      <c r="HL20" s="36"/>
      <c r="HM20" s="36"/>
      <c r="HN20" s="36"/>
      <c r="HO20" s="36"/>
      <c r="HP20" s="36"/>
      <c r="HQ20" s="36"/>
      <c r="HR20" s="36"/>
      <c r="HS20" s="36"/>
      <c r="HT20" s="37"/>
      <c r="HU20" s="35">
        <v>0</v>
      </c>
      <c r="HV20" s="36"/>
      <c r="HW20" s="36"/>
      <c r="HX20" s="36"/>
      <c r="HY20" s="36"/>
      <c r="HZ20" s="36"/>
      <c r="IA20" s="36"/>
      <c r="IB20" s="36"/>
      <c r="IC20" s="36"/>
      <c r="ID20" s="37"/>
      <c r="IE20" s="35">
        <f>SUM(GG20:ID20)</f>
        <v>22.706076740249735</v>
      </c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42"/>
    </row>
    <row r="21" spans="1:250" s="7" customFormat="1" ht="45.75" customHeight="1">
      <c r="A21" s="26" t="s">
        <v>136</v>
      </c>
      <c r="B21" s="27"/>
      <c r="C21" s="27"/>
      <c r="D21" s="27"/>
      <c r="E21" s="28"/>
      <c r="F21" s="23" t="s">
        <v>46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6" t="s">
        <v>35</v>
      </c>
      <c r="AG21" s="17"/>
      <c r="AH21" s="17"/>
      <c r="AI21" s="17"/>
      <c r="AJ21" s="17"/>
      <c r="AK21" s="17"/>
      <c r="AL21" s="17"/>
      <c r="AM21" s="17"/>
      <c r="AN21" s="17"/>
      <c r="AO21" s="18"/>
      <c r="AP21" s="16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8"/>
      <c r="BG21" s="16" t="s">
        <v>52</v>
      </c>
      <c r="BH21" s="17"/>
      <c r="BI21" s="17"/>
      <c r="BJ21" s="17"/>
      <c r="BK21" s="17"/>
      <c r="BL21" s="17"/>
      <c r="BM21" s="17"/>
      <c r="BN21" s="17"/>
      <c r="BO21" s="17"/>
      <c r="BP21" s="18"/>
      <c r="BQ21" s="16" t="s">
        <v>41</v>
      </c>
      <c r="BR21" s="17"/>
      <c r="BS21" s="17"/>
      <c r="BT21" s="17"/>
      <c r="BU21" s="17"/>
      <c r="BV21" s="17"/>
      <c r="BW21" s="17"/>
      <c r="BX21" s="17"/>
      <c r="BY21" s="17"/>
      <c r="BZ21" s="18"/>
      <c r="CA21" s="35">
        <f>CO21+6.65524</f>
        <v>7.509075434532093</v>
      </c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7"/>
      <c r="CO21" s="35">
        <f>IE21</f>
        <v>0.8538354345320928</v>
      </c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7"/>
      <c r="DC21" s="35">
        <f>GG21</f>
        <v>0.8538354345320928</v>
      </c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7"/>
      <c r="DQ21" s="16" t="s">
        <v>43</v>
      </c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8"/>
      <c r="EH21" s="16" t="s">
        <v>43</v>
      </c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8"/>
      <c r="EY21" s="16" t="s">
        <v>43</v>
      </c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8"/>
      <c r="FP21" s="16" t="s">
        <v>43</v>
      </c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8"/>
      <c r="GG21" s="35">
        <f>7.039*0.121300672614305</f>
        <v>0.8538354345320928</v>
      </c>
      <c r="GH21" s="36"/>
      <c r="GI21" s="36"/>
      <c r="GJ21" s="36"/>
      <c r="GK21" s="36"/>
      <c r="GL21" s="36"/>
      <c r="GM21" s="36"/>
      <c r="GN21" s="36"/>
      <c r="GO21" s="36"/>
      <c r="GP21" s="37"/>
      <c r="GQ21" s="35">
        <v>0</v>
      </c>
      <c r="GR21" s="36"/>
      <c r="GS21" s="36"/>
      <c r="GT21" s="36"/>
      <c r="GU21" s="36"/>
      <c r="GV21" s="36"/>
      <c r="GW21" s="36"/>
      <c r="GX21" s="36"/>
      <c r="GY21" s="36"/>
      <c r="GZ21" s="37"/>
      <c r="HA21" s="35">
        <v>0</v>
      </c>
      <c r="HB21" s="36"/>
      <c r="HC21" s="36"/>
      <c r="HD21" s="36"/>
      <c r="HE21" s="36"/>
      <c r="HF21" s="36"/>
      <c r="HG21" s="36"/>
      <c r="HH21" s="36"/>
      <c r="HI21" s="36"/>
      <c r="HJ21" s="37"/>
      <c r="HK21" s="35">
        <v>0</v>
      </c>
      <c r="HL21" s="36"/>
      <c r="HM21" s="36"/>
      <c r="HN21" s="36"/>
      <c r="HO21" s="36"/>
      <c r="HP21" s="36"/>
      <c r="HQ21" s="36"/>
      <c r="HR21" s="36"/>
      <c r="HS21" s="36"/>
      <c r="HT21" s="37"/>
      <c r="HU21" s="35">
        <v>0</v>
      </c>
      <c r="HV21" s="36"/>
      <c r="HW21" s="36"/>
      <c r="HX21" s="36"/>
      <c r="HY21" s="36"/>
      <c r="HZ21" s="36"/>
      <c r="IA21" s="36"/>
      <c r="IB21" s="36"/>
      <c r="IC21" s="36"/>
      <c r="ID21" s="37"/>
      <c r="IE21" s="35">
        <f>SUM(GG21:ID21)</f>
        <v>0.8538354345320928</v>
      </c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42"/>
    </row>
    <row r="22" spans="1:250" s="7" customFormat="1" ht="81" customHeight="1">
      <c r="A22" s="26" t="s">
        <v>137</v>
      </c>
      <c r="B22" s="27"/>
      <c r="C22" s="27"/>
      <c r="D22" s="27"/>
      <c r="E22" s="28"/>
      <c r="F22" s="23" t="s">
        <v>47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6"/>
      <c r="AG22" s="17"/>
      <c r="AH22" s="17"/>
      <c r="AI22" s="17"/>
      <c r="AJ22" s="17"/>
      <c r="AK22" s="17"/>
      <c r="AL22" s="17"/>
      <c r="AM22" s="17"/>
      <c r="AN22" s="17"/>
      <c r="AO22" s="18"/>
      <c r="AP22" s="16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8"/>
      <c r="BG22" s="16" t="s">
        <v>42</v>
      </c>
      <c r="BH22" s="17"/>
      <c r="BI22" s="17"/>
      <c r="BJ22" s="17"/>
      <c r="BK22" s="17"/>
      <c r="BL22" s="17"/>
      <c r="BM22" s="17"/>
      <c r="BN22" s="17"/>
      <c r="BO22" s="17"/>
      <c r="BP22" s="18"/>
      <c r="BQ22" s="16" t="s">
        <v>53</v>
      </c>
      <c r="BR22" s="17"/>
      <c r="BS22" s="17"/>
      <c r="BT22" s="17"/>
      <c r="BU22" s="17"/>
      <c r="BV22" s="17"/>
      <c r="BW22" s="17"/>
      <c r="BX22" s="17"/>
      <c r="BY22" s="17"/>
      <c r="BZ22" s="18"/>
      <c r="CA22" s="35">
        <f>CO22</f>
        <v>30.240388893248955</v>
      </c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7"/>
      <c r="CO22" s="35">
        <f>IE22</f>
        <v>30.240388893248955</v>
      </c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7"/>
      <c r="DC22" s="35">
        <f>GG22</f>
        <v>0</v>
      </c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7"/>
      <c r="DQ22" s="16" t="s">
        <v>43</v>
      </c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8"/>
      <c r="EH22" s="16" t="s">
        <v>43</v>
      </c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8"/>
      <c r="EY22" s="16" t="s">
        <v>43</v>
      </c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8"/>
      <c r="FP22" s="16" t="s">
        <v>43</v>
      </c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8"/>
      <c r="GG22" s="35">
        <v>0</v>
      </c>
      <c r="GH22" s="36"/>
      <c r="GI22" s="36"/>
      <c r="GJ22" s="36"/>
      <c r="GK22" s="36"/>
      <c r="GL22" s="36"/>
      <c r="GM22" s="36"/>
      <c r="GN22" s="36"/>
      <c r="GO22" s="36"/>
      <c r="GP22" s="37"/>
      <c r="GQ22" s="35">
        <f>26.38*0.444252801108755</f>
        <v>11.719388893248956</v>
      </c>
      <c r="GR22" s="36"/>
      <c r="GS22" s="36"/>
      <c r="GT22" s="36"/>
      <c r="GU22" s="36"/>
      <c r="GV22" s="36"/>
      <c r="GW22" s="36"/>
      <c r="GX22" s="36"/>
      <c r="GY22" s="36"/>
      <c r="GZ22" s="37"/>
      <c r="HA22" s="35">
        <v>18.521</v>
      </c>
      <c r="HB22" s="36"/>
      <c r="HC22" s="36"/>
      <c r="HD22" s="36"/>
      <c r="HE22" s="36"/>
      <c r="HF22" s="36"/>
      <c r="HG22" s="36"/>
      <c r="HH22" s="36"/>
      <c r="HI22" s="36"/>
      <c r="HJ22" s="37"/>
      <c r="HK22" s="35">
        <v>0</v>
      </c>
      <c r="HL22" s="36"/>
      <c r="HM22" s="36"/>
      <c r="HN22" s="36"/>
      <c r="HO22" s="36"/>
      <c r="HP22" s="36"/>
      <c r="HQ22" s="36"/>
      <c r="HR22" s="36"/>
      <c r="HS22" s="36"/>
      <c r="HT22" s="37"/>
      <c r="HU22" s="35">
        <v>0</v>
      </c>
      <c r="HV22" s="36"/>
      <c r="HW22" s="36"/>
      <c r="HX22" s="36"/>
      <c r="HY22" s="36"/>
      <c r="HZ22" s="36"/>
      <c r="IA22" s="36"/>
      <c r="IB22" s="36"/>
      <c r="IC22" s="36"/>
      <c r="ID22" s="37"/>
      <c r="IE22" s="35">
        <f>SUM(GG22:ID22)</f>
        <v>30.240388893248955</v>
      </c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42"/>
    </row>
    <row r="23" spans="1:250" s="7" customFormat="1" ht="58.5" customHeight="1">
      <c r="A23" s="26" t="s">
        <v>138</v>
      </c>
      <c r="B23" s="27"/>
      <c r="C23" s="27"/>
      <c r="D23" s="27"/>
      <c r="E23" s="28"/>
      <c r="F23" s="23" t="s">
        <v>48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6"/>
      <c r="AG23" s="17"/>
      <c r="AH23" s="17"/>
      <c r="AI23" s="17"/>
      <c r="AJ23" s="17"/>
      <c r="AK23" s="17"/>
      <c r="AL23" s="17"/>
      <c r="AM23" s="17"/>
      <c r="AN23" s="17"/>
      <c r="AO23" s="18"/>
      <c r="AP23" s="16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8"/>
      <c r="BG23" s="16" t="s">
        <v>54</v>
      </c>
      <c r="BH23" s="17"/>
      <c r="BI23" s="17"/>
      <c r="BJ23" s="17"/>
      <c r="BK23" s="17"/>
      <c r="BL23" s="17"/>
      <c r="BM23" s="17"/>
      <c r="BN23" s="17"/>
      <c r="BO23" s="17"/>
      <c r="BP23" s="18"/>
      <c r="BQ23" s="16" t="s">
        <v>55</v>
      </c>
      <c r="BR23" s="17"/>
      <c r="BS23" s="17"/>
      <c r="BT23" s="17"/>
      <c r="BU23" s="17"/>
      <c r="BV23" s="17"/>
      <c r="BW23" s="17"/>
      <c r="BX23" s="17"/>
      <c r="BY23" s="17"/>
      <c r="BZ23" s="18"/>
      <c r="CA23" s="35">
        <f>CO23</f>
        <v>62.51431834707661</v>
      </c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7"/>
      <c r="CO23" s="35">
        <f>IE23</f>
        <v>62.51431834707661</v>
      </c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7"/>
      <c r="DC23" s="35">
        <f>GG23</f>
        <v>0</v>
      </c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7"/>
      <c r="DQ23" s="16" t="s">
        <v>43</v>
      </c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8"/>
      <c r="EH23" s="16" t="s">
        <v>43</v>
      </c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8"/>
      <c r="EY23" s="16" t="s">
        <v>43</v>
      </c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8"/>
      <c r="FP23" s="16" t="s">
        <v>43</v>
      </c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8"/>
      <c r="GG23" s="35">
        <v>0</v>
      </c>
      <c r="GH23" s="36"/>
      <c r="GI23" s="36"/>
      <c r="GJ23" s="36"/>
      <c r="GK23" s="36"/>
      <c r="GL23" s="36"/>
      <c r="GM23" s="36"/>
      <c r="GN23" s="36"/>
      <c r="GO23" s="36"/>
      <c r="GP23" s="37"/>
      <c r="GQ23" s="35">
        <v>0</v>
      </c>
      <c r="GR23" s="36"/>
      <c r="GS23" s="36"/>
      <c r="GT23" s="36"/>
      <c r="GU23" s="36"/>
      <c r="GV23" s="36"/>
      <c r="GW23" s="36"/>
      <c r="GX23" s="36"/>
      <c r="GY23" s="36"/>
      <c r="GZ23" s="37"/>
      <c r="HA23" s="35">
        <v>7.359</v>
      </c>
      <c r="HB23" s="36"/>
      <c r="HC23" s="36"/>
      <c r="HD23" s="36"/>
      <c r="HE23" s="36"/>
      <c r="HF23" s="36"/>
      <c r="HG23" s="36"/>
      <c r="HH23" s="36"/>
      <c r="HI23" s="36"/>
      <c r="HJ23" s="37"/>
      <c r="HK23" s="35">
        <f>125.202*0.440530649247429</f>
        <v>55.15531834707661</v>
      </c>
      <c r="HL23" s="36"/>
      <c r="HM23" s="36"/>
      <c r="HN23" s="36"/>
      <c r="HO23" s="36"/>
      <c r="HP23" s="36"/>
      <c r="HQ23" s="36"/>
      <c r="HR23" s="36"/>
      <c r="HS23" s="36"/>
      <c r="HT23" s="37"/>
      <c r="HU23" s="35">
        <v>0</v>
      </c>
      <c r="HV23" s="36"/>
      <c r="HW23" s="36"/>
      <c r="HX23" s="36"/>
      <c r="HY23" s="36"/>
      <c r="HZ23" s="36"/>
      <c r="IA23" s="36"/>
      <c r="IB23" s="36"/>
      <c r="IC23" s="36"/>
      <c r="ID23" s="37"/>
      <c r="IE23" s="35">
        <f t="shared" si="0"/>
        <v>62.51431834707661</v>
      </c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42"/>
    </row>
    <row r="24" spans="1:250" s="6" customFormat="1" ht="21.75" customHeight="1">
      <c r="A24" s="13" t="s">
        <v>32</v>
      </c>
      <c r="B24" s="14"/>
      <c r="C24" s="14"/>
      <c r="D24" s="14"/>
      <c r="E24" s="15"/>
      <c r="F24" s="45" t="s">
        <v>18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  <c r="AF24" s="44"/>
      <c r="AG24" s="38"/>
      <c r="AH24" s="38"/>
      <c r="AI24" s="38"/>
      <c r="AJ24" s="38"/>
      <c r="AK24" s="38"/>
      <c r="AL24" s="38"/>
      <c r="AM24" s="38"/>
      <c r="AN24" s="38"/>
      <c r="AO24" s="39"/>
      <c r="AP24" s="44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9"/>
      <c r="BG24" s="44"/>
      <c r="BH24" s="38"/>
      <c r="BI24" s="38"/>
      <c r="BJ24" s="38"/>
      <c r="BK24" s="38"/>
      <c r="BL24" s="38"/>
      <c r="BM24" s="38"/>
      <c r="BN24" s="38"/>
      <c r="BO24" s="38"/>
      <c r="BP24" s="39"/>
      <c r="BQ24" s="44"/>
      <c r="BR24" s="38"/>
      <c r="BS24" s="38"/>
      <c r="BT24" s="38"/>
      <c r="BU24" s="38"/>
      <c r="BV24" s="38"/>
      <c r="BW24" s="38"/>
      <c r="BX24" s="38"/>
      <c r="BY24" s="38"/>
      <c r="BZ24" s="39"/>
      <c r="CA24" s="32">
        <f>SUM(CA25:CN30)</f>
        <v>2.5040341210701422</v>
      </c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/>
      <c r="CO24" s="32">
        <f>SUM(CO25:DB30)</f>
        <v>2.5040341210701422</v>
      </c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2">
        <f>SUM(DC25:DP30)</f>
        <v>1.2725653563966737</v>
      </c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9"/>
      <c r="DQ24" s="16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8"/>
      <c r="EH24" s="16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8"/>
      <c r="EY24" s="16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8"/>
      <c r="FP24" s="16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8"/>
      <c r="GG24" s="32">
        <f>SUM(GG25:GP30)</f>
        <v>1.2725653563966737</v>
      </c>
      <c r="GH24" s="33"/>
      <c r="GI24" s="33"/>
      <c r="GJ24" s="33"/>
      <c r="GK24" s="33"/>
      <c r="GL24" s="33"/>
      <c r="GM24" s="33"/>
      <c r="GN24" s="33"/>
      <c r="GO24" s="33"/>
      <c r="GP24" s="34"/>
      <c r="GQ24" s="32">
        <f>SUM(GQ25:GZ30)</f>
        <v>1.2314687646734686</v>
      </c>
      <c r="GR24" s="33"/>
      <c r="GS24" s="33"/>
      <c r="GT24" s="33"/>
      <c r="GU24" s="33"/>
      <c r="GV24" s="33"/>
      <c r="GW24" s="33"/>
      <c r="GX24" s="33"/>
      <c r="GY24" s="33"/>
      <c r="GZ24" s="34"/>
      <c r="HA24" s="32">
        <f>SUM(HA25:HJ30)</f>
        <v>0</v>
      </c>
      <c r="HB24" s="33"/>
      <c r="HC24" s="33"/>
      <c r="HD24" s="33"/>
      <c r="HE24" s="33"/>
      <c r="HF24" s="33"/>
      <c r="HG24" s="33"/>
      <c r="HH24" s="33"/>
      <c r="HI24" s="33"/>
      <c r="HJ24" s="34"/>
      <c r="HK24" s="32">
        <f>SUM(HK25:HT30)</f>
        <v>0</v>
      </c>
      <c r="HL24" s="33"/>
      <c r="HM24" s="33"/>
      <c r="HN24" s="33"/>
      <c r="HO24" s="33"/>
      <c r="HP24" s="33"/>
      <c r="HQ24" s="33"/>
      <c r="HR24" s="33"/>
      <c r="HS24" s="33"/>
      <c r="HT24" s="34"/>
      <c r="HU24" s="32">
        <f>SUM(HU25:ID30)</f>
        <v>0</v>
      </c>
      <c r="HV24" s="33"/>
      <c r="HW24" s="33"/>
      <c r="HX24" s="33"/>
      <c r="HY24" s="33"/>
      <c r="HZ24" s="33"/>
      <c r="IA24" s="33"/>
      <c r="IB24" s="33"/>
      <c r="IC24" s="33"/>
      <c r="ID24" s="34"/>
      <c r="IE24" s="32">
        <f t="shared" si="0"/>
        <v>2.5040341210701422</v>
      </c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41"/>
    </row>
    <row r="25" spans="1:250" s="7" customFormat="1" ht="47.25" customHeight="1">
      <c r="A25" s="26" t="s">
        <v>139</v>
      </c>
      <c r="B25" s="27"/>
      <c r="C25" s="27"/>
      <c r="D25" s="27"/>
      <c r="E25" s="28"/>
      <c r="F25" s="23" t="s">
        <v>56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6" t="s">
        <v>35</v>
      </c>
      <c r="AG25" s="17"/>
      <c r="AH25" s="17"/>
      <c r="AI25" s="17"/>
      <c r="AJ25" s="17"/>
      <c r="AK25" s="17"/>
      <c r="AL25" s="17"/>
      <c r="AM25" s="17"/>
      <c r="AN25" s="17"/>
      <c r="AO25" s="18"/>
      <c r="AP25" s="16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8"/>
      <c r="BG25" s="16" t="s">
        <v>62</v>
      </c>
      <c r="BH25" s="17"/>
      <c r="BI25" s="17"/>
      <c r="BJ25" s="17"/>
      <c r="BK25" s="17"/>
      <c r="BL25" s="17"/>
      <c r="BM25" s="17"/>
      <c r="BN25" s="17"/>
      <c r="BO25" s="17"/>
      <c r="BP25" s="18"/>
      <c r="BQ25" s="16" t="s">
        <v>41</v>
      </c>
      <c r="BR25" s="17"/>
      <c r="BS25" s="17"/>
      <c r="BT25" s="17"/>
      <c r="BU25" s="17"/>
      <c r="BV25" s="17"/>
      <c r="BW25" s="17"/>
      <c r="BX25" s="17"/>
      <c r="BY25" s="17"/>
      <c r="BZ25" s="18"/>
      <c r="CA25" s="35">
        <f>CO25</f>
        <v>0.7889395746834397</v>
      </c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7"/>
      <c r="CO25" s="35">
        <f>IE25</f>
        <v>0.7889395746834397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7"/>
      <c r="DC25" s="35">
        <f aca="true" t="shared" si="1" ref="DC25:DC30">GG25</f>
        <v>0.7889395746834397</v>
      </c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7"/>
      <c r="DQ25" s="16" t="s">
        <v>43</v>
      </c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8"/>
      <c r="EH25" s="16" t="s">
        <v>43</v>
      </c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8"/>
      <c r="EY25" s="16" t="s">
        <v>43</v>
      </c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8"/>
      <c r="FP25" s="16" t="s">
        <v>43</v>
      </c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8"/>
      <c r="GG25" s="35">
        <f>6.504*0.121300672614305</f>
        <v>0.7889395746834397</v>
      </c>
      <c r="GH25" s="36"/>
      <c r="GI25" s="36"/>
      <c r="GJ25" s="36"/>
      <c r="GK25" s="36"/>
      <c r="GL25" s="36"/>
      <c r="GM25" s="36"/>
      <c r="GN25" s="36"/>
      <c r="GO25" s="36"/>
      <c r="GP25" s="37"/>
      <c r="GQ25" s="35">
        <v>0</v>
      </c>
      <c r="GR25" s="36"/>
      <c r="GS25" s="36"/>
      <c r="GT25" s="36"/>
      <c r="GU25" s="36"/>
      <c r="GV25" s="36"/>
      <c r="GW25" s="36"/>
      <c r="GX25" s="36"/>
      <c r="GY25" s="36"/>
      <c r="GZ25" s="37"/>
      <c r="HA25" s="35">
        <v>0</v>
      </c>
      <c r="HB25" s="36"/>
      <c r="HC25" s="36"/>
      <c r="HD25" s="36"/>
      <c r="HE25" s="36"/>
      <c r="HF25" s="36"/>
      <c r="HG25" s="36"/>
      <c r="HH25" s="36"/>
      <c r="HI25" s="36"/>
      <c r="HJ25" s="37"/>
      <c r="HK25" s="35">
        <v>0</v>
      </c>
      <c r="HL25" s="36"/>
      <c r="HM25" s="36"/>
      <c r="HN25" s="36"/>
      <c r="HO25" s="36"/>
      <c r="HP25" s="36"/>
      <c r="HQ25" s="36"/>
      <c r="HR25" s="36"/>
      <c r="HS25" s="36"/>
      <c r="HT25" s="37"/>
      <c r="HU25" s="35">
        <v>0</v>
      </c>
      <c r="HV25" s="36"/>
      <c r="HW25" s="36"/>
      <c r="HX25" s="36"/>
      <c r="HY25" s="36"/>
      <c r="HZ25" s="36"/>
      <c r="IA25" s="36"/>
      <c r="IB25" s="36"/>
      <c r="IC25" s="36"/>
      <c r="ID25" s="37"/>
      <c r="IE25" s="35">
        <f t="shared" si="0"/>
        <v>0.7889395746834397</v>
      </c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42"/>
    </row>
    <row r="26" spans="1:250" s="7" customFormat="1" ht="45" customHeight="1">
      <c r="A26" s="26" t="s">
        <v>140</v>
      </c>
      <c r="B26" s="27"/>
      <c r="C26" s="27"/>
      <c r="D26" s="27"/>
      <c r="E26" s="28"/>
      <c r="F26" s="23" t="s">
        <v>57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6" t="s">
        <v>35</v>
      </c>
      <c r="AG26" s="17"/>
      <c r="AH26" s="17"/>
      <c r="AI26" s="17"/>
      <c r="AJ26" s="17"/>
      <c r="AK26" s="17"/>
      <c r="AL26" s="17"/>
      <c r="AM26" s="17"/>
      <c r="AN26" s="17"/>
      <c r="AO26" s="18"/>
      <c r="AP26" s="16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8"/>
      <c r="BG26" s="16" t="s">
        <v>39</v>
      </c>
      <c r="BH26" s="17"/>
      <c r="BI26" s="17"/>
      <c r="BJ26" s="17"/>
      <c r="BK26" s="17"/>
      <c r="BL26" s="17"/>
      <c r="BM26" s="17"/>
      <c r="BN26" s="17"/>
      <c r="BO26" s="17"/>
      <c r="BP26" s="18"/>
      <c r="BQ26" s="16" t="s">
        <v>41</v>
      </c>
      <c r="BR26" s="17"/>
      <c r="BS26" s="17"/>
      <c r="BT26" s="17"/>
      <c r="BU26" s="17"/>
      <c r="BV26" s="17"/>
      <c r="BW26" s="17"/>
      <c r="BX26" s="17"/>
      <c r="BY26" s="17"/>
      <c r="BZ26" s="18"/>
      <c r="CA26" s="35">
        <f>CO26</f>
        <v>0.13682715870893603</v>
      </c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7"/>
      <c r="CO26" s="35">
        <f>IE26</f>
        <v>0.13682715870893603</v>
      </c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7"/>
      <c r="DC26" s="35">
        <f t="shared" si="1"/>
        <v>0.13682715870893603</v>
      </c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7"/>
      <c r="DQ26" s="16" t="s">
        <v>43</v>
      </c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8"/>
      <c r="EH26" s="16" t="s">
        <v>43</v>
      </c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8"/>
      <c r="EY26" s="16" t="s">
        <v>43</v>
      </c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8"/>
      <c r="FP26" s="16" t="s">
        <v>43</v>
      </c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8"/>
      <c r="GG26" s="35">
        <f>1.128*0.121300672614305</f>
        <v>0.13682715870893603</v>
      </c>
      <c r="GH26" s="36"/>
      <c r="GI26" s="36"/>
      <c r="GJ26" s="36"/>
      <c r="GK26" s="36"/>
      <c r="GL26" s="36"/>
      <c r="GM26" s="36"/>
      <c r="GN26" s="36"/>
      <c r="GO26" s="36"/>
      <c r="GP26" s="37"/>
      <c r="GQ26" s="35">
        <v>0</v>
      </c>
      <c r="GR26" s="36"/>
      <c r="GS26" s="36"/>
      <c r="GT26" s="36"/>
      <c r="GU26" s="36"/>
      <c r="GV26" s="36"/>
      <c r="GW26" s="36"/>
      <c r="GX26" s="36"/>
      <c r="GY26" s="36"/>
      <c r="GZ26" s="37"/>
      <c r="HA26" s="35">
        <v>0</v>
      </c>
      <c r="HB26" s="36"/>
      <c r="HC26" s="36"/>
      <c r="HD26" s="36"/>
      <c r="HE26" s="36"/>
      <c r="HF26" s="36"/>
      <c r="HG26" s="36"/>
      <c r="HH26" s="36"/>
      <c r="HI26" s="36"/>
      <c r="HJ26" s="37"/>
      <c r="HK26" s="35">
        <v>0</v>
      </c>
      <c r="HL26" s="36"/>
      <c r="HM26" s="36"/>
      <c r="HN26" s="36"/>
      <c r="HO26" s="36"/>
      <c r="HP26" s="36"/>
      <c r="HQ26" s="36"/>
      <c r="HR26" s="36"/>
      <c r="HS26" s="36"/>
      <c r="HT26" s="37"/>
      <c r="HU26" s="35">
        <v>0</v>
      </c>
      <c r="HV26" s="36"/>
      <c r="HW26" s="36"/>
      <c r="HX26" s="36"/>
      <c r="HY26" s="36"/>
      <c r="HZ26" s="36"/>
      <c r="IA26" s="36"/>
      <c r="IB26" s="36"/>
      <c r="IC26" s="36"/>
      <c r="ID26" s="37"/>
      <c r="IE26" s="35">
        <f t="shared" si="0"/>
        <v>0.13682715870893603</v>
      </c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42"/>
    </row>
    <row r="27" spans="1:250" s="7" customFormat="1" ht="57.75" customHeight="1">
      <c r="A27" s="26" t="s">
        <v>141</v>
      </c>
      <c r="B27" s="27"/>
      <c r="C27" s="27"/>
      <c r="D27" s="27"/>
      <c r="E27" s="28"/>
      <c r="F27" s="23" t="s">
        <v>58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16"/>
      <c r="AG27" s="17"/>
      <c r="AH27" s="17"/>
      <c r="AI27" s="17"/>
      <c r="AJ27" s="17"/>
      <c r="AK27" s="17"/>
      <c r="AL27" s="17"/>
      <c r="AM27" s="17"/>
      <c r="AN27" s="17"/>
      <c r="AO27" s="18"/>
      <c r="AP27" s="16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8"/>
      <c r="BG27" s="16" t="s">
        <v>42</v>
      </c>
      <c r="BH27" s="17"/>
      <c r="BI27" s="17"/>
      <c r="BJ27" s="17"/>
      <c r="BK27" s="17"/>
      <c r="BL27" s="17"/>
      <c r="BM27" s="17"/>
      <c r="BN27" s="17"/>
      <c r="BO27" s="17"/>
      <c r="BP27" s="18"/>
      <c r="BQ27" s="16" t="s">
        <v>51</v>
      </c>
      <c r="BR27" s="17"/>
      <c r="BS27" s="17"/>
      <c r="BT27" s="17"/>
      <c r="BU27" s="17"/>
      <c r="BV27" s="17"/>
      <c r="BW27" s="17"/>
      <c r="BX27" s="17"/>
      <c r="BY27" s="17"/>
      <c r="BZ27" s="18"/>
      <c r="CA27" s="35">
        <f>CO27</f>
        <v>1.0128963865279612</v>
      </c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7"/>
      <c r="CO27" s="35">
        <f>IE27</f>
        <v>1.0128963865279612</v>
      </c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7"/>
      <c r="DC27" s="35">
        <f t="shared" si="1"/>
        <v>0</v>
      </c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7"/>
      <c r="DQ27" s="16" t="s">
        <v>43</v>
      </c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8"/>
      <c r="EH27" s="16" t="s">
        <v>43</v>
      </c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8"/>
      <c r="EY27" s="16" t="s">
        <v>43</v>
      </c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8"/>
      <c r="FP27" s="16" t="s">
        <v>43</v>
      </c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8"/>
      <c r="GG27" s="35">
        <v>0</v>
      </c>
      <c r="GH27" s="36"/>
      <c r="GI27" s="36"/>
      <c r="GJ27" s="36"/>
      <c r="GK27" s="36"/>
      <c r="GL27" s="36"/>
      <c r="GM27" s="36"/>
      <c r="GN27" s="36"/>
      <c r="GO27" s="36"/>
      <c r="GP27" s="37"/>
      <c r="GQ27" s="35">
        <f>2.28*0.444252801108755</f>
        <v>1.0128963865279612</v>
      </c>
      <c r="GR27" s="36"/>
      <c r="GS27" s="36"/>
      <c r="GT27" s="36"/>
      <c r="GU27" s="36"/>
      <c r="GV27" s="36"/>
      <c r="GW27" s="36"/>
      <c r="GX27" s="36"/>
      <c r="GY27" s="36"/>
      <c r="GZ27" s="37"/>
      <c r="HA27" s="35">
        <v>0</v>
      </c>
      <c r="HB27" s="36"/>
      <c r="HC27" s="36"/>
      <c r="HD27" s="36"/>
      <c r="HE27" s="36"/>
      <c r="HF27" s="36"/>
      <c r="HG27" s="36"/>
      <c r="HH27" s="36"/>
      <c r="HI27" s="36"/>
      <c r="HJ27" s="37"/>
      <c r="HK27" s="35">
        <v>0</v>
      </c>
      <c r="HL27" s="36"/>
      <c r="HM27" s="36"/>
      <c r="HN27" s="36"/>
      <c r="HO27" s="36"/>
      <c r="HP27" s="36"/>
      <c r="HQ27" s="36"/>
      <c r="HR27" s="36"/>
      <c r="HS27" s="36"/>
      <c r="HT27" s="37"/>
      <c r="HU27" s="35">
        <v>0</v>
      </c>
      <c r="HV27" s="36"/>
      <c r="HW27" s="36"/>
      <c r="HX27" s="36"/>
      <c r="HY27" s="36"/>
      <c r="HZ27" s="36"/>
      <c r="IA27" s="36"/>
      <c r="IB27" s="36"/>
      <c r="IC27" s="36"/>
      <c r="ID27" s="37"/>
      <c r="IE27" s="35">
        <f t="shared" si="0"/>
        <v>1.0128963865279612</v>
      </c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42"/>
    </row>
    <row r="28" spans="1:250" s="7" customFormat="1" ht="47.25" customHeight="1">
      <c r="A28" s="26" t="s">
        <v>142</v>
      </c>
      <c r="B28" s="27"/>
      <c r="C28" s="27"/>
      <c r="D28" s="27"/>
      <c r="E28" s="28"/>
      <c r="F28" s="23" t="s">
        <v>59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6"/>
      <c r="AG28" s="17"/>
      <c r="AH28" s="17"/>
      <c r="AI28" s="17"/>
      <c r="AJ28" s="17"/>
      <c r="AK28" s="17"/>
      <c r="AL28" s="17"/>
      <c r="AM28" s="17"/>
      <c r="AN28" s="17"/>
      <c r="AO28" s="18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8"/>
      <c r="BG28" s="16" t="s">
        <v>42</v>
      </c>
      <c r="BH28" s="17"/>
      <c r="BI28" s="17"/>
      <c r="BJ28" s="17"/>
      <c r="BK28" s="17"/>
      <c r="BL28" s="17"/>
      <c r="BM28" s="17"/>
      <c r="BN28" s="17"/>
      <c r="BO28" s="17"/>
      <c r="BP28" s="18"/>
      <c r="BQ28" s="16" t="s">
        <v>51</v>
      </c>
      <c r="BR28" s="17"/>
      <c r="BS28" s="17"/>
      <c r="BT28" s="17"/>
      <c r="BU28" s="17"/>
      <c r="BV28" s="17"/>
      <c r="BW28" s="17"/>
      <c r="BX28" s="17"/>
      <c r="BY28" s="17"/>
      <c r="BZ28" s="18"/>
      <c r="CA28" s="35">
        <f>CO28</f>
        <v>0.21857237814550745</v>
      </c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7"/>
      <c r="CO28" s="35">
        <f>IE28</f>
        <v>0.21857237814550745</v>
      </c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7"/>
      <c r="DC28" s="35">
        <f t="shared" si="1"/>
        <v>0</v>
      </c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7"/>
      <c r="DQ28" s="16" t="s">
        <v>43</v>
      </c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8"/>
      <c r="EH28" s="16" t="s">
        <v>43</v>
      </c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8"/>
      <c r="EY28" s="16" t="s">
        <v>43</v>
      </c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8"/>
      <c r="FP28" s="16" t="s">
        <v>43</v>
      </c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8"/>
      <c r="GG28" s="35">
        <v>0</v>
      </c>
      <c r="GH28" s="36"/>
      <c r="GI28" s="36"/>
      <c r="GJ28" s="36"/>
      <c r="GK28" s="36"/>
      <c r="GL28" s="36"/>
      <c r="GM28" s="36"/>
      <c r="GN28" s="36"/>
      <c r="GO28" s="36"/>
      <c r="GP28" s="37"/>
      <c r="GQ28" s="35">
        <f>0.492*0.444252801108755</f>
        <v>0.21857237814550745</v>
      </c>
      <c r="GR28" s="36"/>
      <c r="GS28" s="36"/>
      <c r="GT28" s="36"/>
      <c r="GU28" s="36"/>
      <c r="GV28" s="36"/>
      <c r="GW28" s="36"/>
      <c r="GX28" s="36"/>
      <c r="GY28" s="36"/>
      <c r="GZ28" s="37"/>
      <c r="HA28" s="35">
        <v>0</v>
      </c>
      <c r="HB28" s="36"/>
      <c r="HC28" s="36"/>
      <c r="HD28" s="36"/>
      <c r="HE28" s="36"/>
      <c r="HF28" s="36"/>
      <c r="HG28" s="36"/>
      <c r="HH28" s="36"/>
      <c r="HI28" s="36"/>
      <c r="HJ28" s="37"/>
      <c r="HK28" s="35">
        <v>0</v>
      </c>
      <c r="HL28" s="36"/>
      <c r="HM28" s="36"/>
      <c r="HN28" s="36"/>
      <c r="HO28" s="36"/>
      <c r="HP28" s="36"/>
      <c r="HQ28" s="36"/>
      <c r="HR28" s="36"/>
      <c r="HS28" s="36"/>
      <c r="HT28" s="37"/>
      <c r="HU28" s="35">
        <v>0</v>
      </c>
      <c r="HV28" s="36"/>
      <c r="HW28" s="36"/>
      <c r="HX28" s="36"/>
      <c r="HY28" s="36"/>
      <c r="HZ28" s="36"/>
      <c r="IA28" s="36"/>
      <c r="IB28" s="36"/>
      <c r="IC28" s="36"/>
      <c r="ID28" s="37"/>
      <c r="IE28" s="35">
        <f t="shared" si="0"/>
        <v>0.21857237814550745</v>
      </c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42"/>
    </row>
    <row r="29" spans="1:250" s="7" customFormat="1" ht="45.75" customHeight="1">
      <c r="A29" s="26" t="s">
        <v>143</v>
      </c>
      <c r="B29" s="27"/>
      <c r="C29" s="27"/>
      <c r="D29" s="27"/>
      <c r="E29" s="28"/>
      <c r="F29" s="23" t="s">
        <v>60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6" t="s">
        <v>35</v>
      </c>
      <c r="AG29" s="17"/>
      <c r="AH29" s="17"/>
      <c r="AI29" s="17"/>
      <c r="AJ29" s="17"/>
      <c r="AK29" s="17"/>
      <c r="AL29" s="17"/>
      <c r="AM29" s="17"/>
      <c r="AN29" s="17"/>
      <c r="AO29" s="18"/>
      <c r="AP29" s="16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8"/>
      <c r="BG29" s="16" t="s">
        <v>63</v>
      </c>
      <c r="BH29" s="17"/>
      <c r="BI29" s="17"/>
      <c r="BJ29" s="17"/>
      <c r="BK29" s="17"/>
      <c r="BL29" s="17"/>
      <c r="BM29" s="17"/>
      <c r="BN29" s="17"/>
      <c r="BO29" s="17"/>
      <c r="BP29" s="18"/>
      <c r="BQ29" s="16" t="s">
        <v>41</v>
      </c>
      <c r="BR29" s="17"/>
      <c r="BS29" s="17"/>
      <c r="BT29" s="17"/>
      <c r="BU29" s="17"/>
      <c r="BV29" s="17"/>
      <c r="BW29" s="17"/>
      <c r="BX29" s="17"/>
      <c r="BY29" s="17"/>
      <c r="BZ29" s="18"/>
      <c r="CA29" s="35">
        <f>CO29</f>
        <v>0.19347457281981648</v>
      </c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7"/>
      <c r="CO29" s="35">
        <f>IE29</f>
        <v>0.19347457281981648</v>
      </c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7"/>
      <c r="DC29" s="35">
        <f t="shared" si="1"/>
        <v>0.19347457281981648</v>
      </c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7"/>
      <c r="DQ29" s="16" t="s">
        <v>43</v>
      </c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8"/>
      <c r="EH29" s="16" t="s">
        <v>43</v>
      </c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8"/>
      <c r="EY29" s="16" t="s">
        <v>43</v>
      </c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8"/>
      <c r="FP29" s="16" t="s">
        <v>43</v>
      </c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8"/>
      <c r="GG29" s="35">
        <f>1.595*0.121300672614305</f>
        <v>0.19347457281981648</v>
      </c>
      <c r="GH29" s="36"/>
      <c r="GI29" s="36"/>
      <c r="GJ29" s="36"/>
      <c r="GK29" s="36"/>
      <c r="GL29" s="36"/>
      <c r="GM29" s="36"/>
      <c r="GN29" s="36"/>
      <c r="GO29" s="36"/>
      <c r="GP29" s="37"/>
      <c r="GQ29" s="35">
        <v>0</v>
      </c>
      <c r="GR29" s="36"/>
      <c r="GS29" s="36"/>
      <c r="GT29" s="36"/>
      <c r="GU29" s="36"/>
      <c r="GV29" s="36"/>
      <c r="GW29" s="36"/>
      <c r="GX29" s="36"/>
      <c r="GY29" s="36"/>
      <c r="GZ29" s="37"/>
      <c r="HA29" s="35">
        <v>0</v>
      </c>
      <c r="HB29" s="36"/>
      <c r="HC29" s="36"/>
      <c r="HD29" s="36"/>
      <c r="HE29" s="36"/>
      <c r="HF29" s="36"/>
      <c r="HG29" s="36"/>
      <c r="HH29" s="36"/>
      <c r="HI29" s="36"/>
      <c r="HJ29" s="37"/>
      <c r="HK29" s="35">
        <v>0</v>
      </c>
      <c r="HL29" s="36"/>
      <c r="HM29" s="36"/>
      <c r="HN29" s="36"/>
      <c r="HO29" s="36"/>
      <c r="HP29" s="36"/>
      <c r="HQ29" s="36"/>
      <c r="HR29" s="36"/>
      <c r="HS29" s="36"/>
      <c r="HT29" s="37"/>
      <c r="HU29" s="35">
        <v>0</v>
      </c>
      <c r="HV29" s="36"/>
      <c r="HW29" s="36"/>
      <c r="HX29" s="36"/>
      <c r="HY29" s="36"/>
      <c r="HZ29" s="36"/>
      <c r="IA29" s="36"/>
      <c r="IB29" s="36"/>
      <c r="IC29" s="36"/>
      <c r="ID29" s="37"/>
      <c r="IE29" s="35">
        <f t="shared" si="0"/>
        <v>0.19347457281981648</v>
      </c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42"/>
    </row>
    <row r="30" spans="1:250" s="7" customFormat="1" ht="51" customHeight="1">
      <c r="A30" s="26" t="s">
        <v>144</v>
      </c>
      <c r="B30" s="27"/>
      <c r="C30" s="27"/>
      <c r="D30" s="27"/>
      <c r="E30" s="28"/>
      <c r="F30" s="23" t="s">
        <v>61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6" t="s">
        <v>35</v>
      </c>
      <c r="AG30" s="17"/>
      <c r="AH30" s="17"/>
      <c r="AI30" s="17"/>
      <c r="AJ30" s="17"/>
      <c r="AK30" s="17"/>
      <c r="AL30" s="17"/>
      <c r="AM30" s="17"/>
      <c r="AN30" s="17"/>
      <c r="AO30" s="18"/>
      <c r="AP30" s="16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8"/>
      <c r="BG30" s="16" t="s">
        <v>39</v>
      </c>
      <c r="BH30" s="17"/>
      <c r="BI30" s="17"/>
      <c r="BJ30" s="17"/>
      <c r="BK30" s="17"/>
      <c r="BL30" s="17"/>
      <c r="BM30" s="17"/>
      <c r="BN30" s="17"/>
      <c r="BO30" s="17"/>
      <c r="BP30" s="18"/>
      <c r="BQ30" s="16" t="s">
        <v>41</v>
      </c>
      <c r="BR30" s="17"/>
      <c r="BS30" s="17"/>
      <c r="BT30" s="17"/>
      <c r="BU30" s="17"/>
      <c r="BV30" s="17"/>
      <c r="BW30" s="17"/>
      <c r="BX30" s="17"/>
      <c r="BY30" s="17"/>
      <c r="BZ30" s="18"/>
      <c r="CA30" s="35">
        <f>CO30</f>
        <v>0.1533240501844815</v>
      </c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7"/>
      <c r="CO30" s="35">
        <f>IE30</f>
        <v>0.1533240501844815</v>
      </c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7"/>
      <c r="DC30" s="35">
        <f t="shared" si="1"/>
        <v>0.1533240501844815</v>
      </c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7"/>
      <c r="DQ30" s="16" t="s">
        <v>43</v>
      </c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8"/>
      <c r="EH30" s="16" t="s">
        <v>43</v>
      </c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8"/>
      <c r="EY30" s="16" t="s">
        <v>43</v>
      </c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8"/>
      <c r="FP30" s="16" t="s">
        <v>43</v>
      </c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8"/>
      <c r="GG30" s="35">
        <f>1.264*0.121300672614305</f>
        <v>0.1533240501844815</v>
      </c>
      <c r="GH30" s="36"/>
      <c r="GI30" s="36"/>
      <c r="GJ30" s="36"/>
      <c r="GK30" s="36"/>
      <c r="GL30" s="36"/>
      <c r="GM30" s="36"/>
      <c r="GN30" s="36"/>
      <c r="GO30" s="36"/>
      <c r="GP30" s="37"/>
      <c r="GQ30" s="35">
        <v>0</v>
      </c>
      <c r="GR30" s="36"/>
      <c r="GS30" s="36"/>
      <c r="GT30" s="36"/>
      <c r="GU30" s="36"/>
      <c r="GV30" s="36"/>
      <c r="GW30" s="36"/>
      <c r="GX30" s="36"/>
      <c r="GY30" s="36"/>
      <c r="GZ30" s="37"/>
      <c r="HA30" s="35">
        <v>0</v>
      </c>
      <c r="HB30" s="36"/>
      <c r="HC30" s="36"/>
      <c r="HD30" s="36"/>
      <c r="HE30" s="36"/>
      <c r="HF30" s="36"/>
      <c r="HG30" s="36"/>
      <c r="HH30" s="36"/>
      <c r="HI30" s="36"/>
      <c r="HJ30" s="37"/>
      <c r="HK30" s="35">
        <v>0</v>
      </c>
      <c r="HL30" s="36"/>
      <c r="HM30" s="36"/>
      <c r="HN30" s="36"/>
      <c r="HO30" s="36"/>
      <c r="HP30" s="36"/>
      <c r="HQ30" s="36"/>
      <c r="HR30" s="36"/>
      <c r="HS30" s="36"/>
      <c r="HT30" s="37"/>
      <c r="HU30" s="35">
        <v>0</v>
      </c>
      <c r="HV30" s="36"/>
      <c r="HW30" s="36"/>
      <c r="HX30" s="36"/>
      <c r="HY30" s="36"/>
      <c r="HZ30" s="36"/>
      <c r="IA30" s="36"/>
      <c r="IB30" s="36"/>
      <c r="IC30" s="36"/>
      <c r="ID30" s="37"/>
      <c r="IE30" s="35">
        <f t="shared" si="0"/>
        <v>0.1533240501844815</v>
      </c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42"/>
    </row>
    <row r="31" spans="1:250" s="6" customFormat="1" ht="25.5" customHeight="1">
      <c r="A31" s="13" t="s">
        <v>33</v>
      </c>
      <c r="B31" s="14"/>
      <c r="C31" s="14"/>
      <c r="D31" s="14"/>
      <c r="E31" s="15"/>
      <c r="F31" s="55" t="s">
        <v>64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  <c r="AF31" s="54"/>
      <c r="AG31" s="52"/>
      <c r="AH31" s="52"/>
      <c r="AI31" s="52"/>
      <c r="AJ31" s="52"/>
      <c r="AK31" s="52"/>
      <c r="AL31" s="52"/>
      <c r="AM31" s="52"/>
      <c r="AN31" s="52"/>
      <c r="AO31" s="53"/>
      <c r="AP31" s="54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/>
      <c r="BG31" s="54"/>
      <c r="BH31" s="52"/>
      <c r="BI31" s="52"/>
      <c r="BJ31" s="52"/>
      <c r="BK31" s="52"/>
      <c r="BL31" s="52"/>
      <c r="BM31" s="52"/>
      <c r="BN31" s="52"/>
      <c r="BO31" s="52"/>
      <c r="BP31" s="53"/>
      <c r="BQ31" s="54"/>
      <c r="BR31" s="52"/>
      <c r="BS31" s="52"/>
      <c r="BT31" s="52"/>
      <c r="BU31" s="52"/>
      <c r="BV31" s="52"/>
      <c r="BW31" s="52"/>
      <c r="BX31" s="52"/>
      <c r="BY31" s="52"/>
      <c r="BZ31" s="53"/>
      <c r="CA31" s="51">
        <f>SUM(CA32:CN44)</f>
        <v>182.56878762196231</v>
      </c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3"/>
      <c r="CO31" s="51">
        <f>SUM(CO32:DB44)</f>
        <v>174.79398274285387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3"/>
      <c r="DC31" s="51">
        <f>SUM(DC32:DP44)</f>
        <v>21.050154823468645</v>
      </c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3"/>
      <c r="DQ31" s="16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8"/>
      <c r="EH31" s="16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8"/>
      <c r="EY31" s="16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8"/>
      <c r="FP31" s="16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8"/>
      <c r="GG31" s="32">
        <f>SUM(GG32:GP44)</f>
        <v>21.050154823468645</v>
      </c>
      <c r="GH31" s="33"/>
      <c r="GI31" s="33"/>
      <c r="GJ31" s="33"/>
      <c r="GK31" s="33"/>
      <c r="GL31" s="33"/>
      <c r="GM31" s="33"/>
      <c r="GN31" s="33"/>
      <c r="GO31" s="33"/>
      <c r="GP31" s="34"/>
      <c r="GQ31" s="32">
        <f>SUM(GQ32:GZ44)</f>
        <v>56.79327809374324</v>
      </c>
      <c r="GR31" s="33"/>
      <c r="GS31" s="33"/>
      <c r="GT31" s="33"/>
      <c r="GU31" s="33"/>
      <c r="GV31" s="33"/>
      <c r="GW31" s="33"/>
      <c r="GX31" s="33"/>
      <c r="GY31" s="33"/>
      <c r="GZ31" s="34"/>
      <c r="HA31" s="32">
        <f>SUM(HA32:HJ44)</f>
        <v>27.078</v>
      </c>
      <c r="HB31" s="33"/>
      <c r="HC31" s="33"/>
      <c r="HD31" s="33"/>
      <c r="HE31" s="33"/>
      <c r="HF31" s="33"/>
      <c r="HG31" s="33"/>
      <c r="HH31" s="33"/>
      <c r="HI31" s="33"/>
      <c r="HJ31" s="34"/>
      <c r="HK31" s="32">
        <f>SUM(HK32:HT44)</f>
        <v>47.97554982564201</v>
      </c>
      <c r="HL31" s="33"/>
      <c r="HM31" s="33"/>
      <c r="HN31" s="33"/>
      <c r="HO31" s="33"/>
      <c r="HP31" s="33"/>
      <c r="HQ31" s="33"/>
      <c r="HR31" s="33"/>
      <c r="HS31" s="33"/>
      <c r="HT31" s="34"/>
      <c r="HU31" s="32">
        <f>SUM(HU32:ID44)</f>
        <v>21.897000000000002</v>
      </c>
      <c r="HV31" s="33"/>
      <c r="HW31" s="33"/>
      <c r="HX31" s="33"/>
      <c r="HY31" s="33"/>
      <c r="HZ31" s="33"/>
      <c r="IA31" s="33"/>
      <c r="IB31" s="33"/>
      <c r="IC31" s="33"/>
      <c r="ID31" s="34"/>
      <c r="IE31" s="32">
        <f t="shared" si="0"/>
        <v>174.7939827428539</v>
      </c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41"/>
    </row>
    <row r="32" spans="1:250" s="7" customFormat="1" ht="57.75" customHeight="1">
      <c r="A32" s="26" t="s">
        <v>145</v>
      </c>
      <c r="B32" s="27"/>
      <c r="C32" s="27"/>
      <c r="D32" s="27"/>
      <c r="E32" s="28"/>
      <c r="F32" s="23" t="s">
        <v>65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16" t="s">
        <v>35</v>
      </c>
      <c r="AG32" s="17"/>
      <c r="AH32" s="17"/>
      <c r="AI32" s="17"/>
      <c r="AJ32" s="17"/>
      <c r="AK32" s="17"/>
      <c r="AL32" s="17"/>
      <c r="AM32" s="17"/>
      <c r="AN32" s="17"/>
      <c r="AO32" s="18"/>
      <c r="AP32" s="16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8"/>
      <c r="BG32" s="29">
        <v>22011</v>
      </c>
      <c r="BH32" s="30"/>
      <c r="BI32" s="30"/>
      <c r="BJ32" s="30"/>
      <c r="BK32" s="30"/>
      <c r="BL32" s="30"/>
      <c r="BM32" s="30"/>
      <c r="BN32" s="30"/>
      <c r="BO32" s="30"/>
      <c r="BP32" s="31"/>
      <c r="BQ32" s="29">
        <v>42016</v>
      </c>
      <c r="BR32" s="30"/>
      <c r="BS32" s="30"/>
      <c r="BT32" s="30"/>
      <c r="BU32" s="30"/>
      <c r="BV32" s="30"/>
      <c r="BW32" s="30"/>
      <c r="BX32" s="30"/>
      <c r="BY32" s="30"/>
      <c r="BZ32" s="31"/>
      <c r="CA32" s="35">
        <f>CO32</f>
        <v>1.0477952100423664</v>
      </c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7"/>
      <c r="CO32" s="35">
        <f>IE32</f>
        <v>1.0477952100423664</v>
      </c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7"/>
      <c r="DC32" s="35">
        <f>GG32</f>
        <v>1.0477952100423664</v>
      </c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7"/>
      <c r="DQ32" s="16" t="s">
        <v>43</v>
      </c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8"/>
      <c r="EH32" s="16" t="s">
        <v>43</v>
      </c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8"/>
      <c r="EY32" s="16" t="s">
        <v>43</v>
      </c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8"/>
      <c r="FP32" s="16" t="s">
        <v>43</v>
      </c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8"/>
      <c r="GG32" s="35">
        <f>8.638*0.121300672614305</f>
        <v>1.0477952100423664</v>
      </c>
      <c r="GH32" s="36"/>
      <c r="GI32" s="36"/>
      <c r="GJ32" s="36"/>
      <c r="GK32" s="36"/>
      <c r="GL32" s="36"/>
      <c r="GM32" s="36"/>
      <c r="GN32" s="36"/>
      <c r="GO32" s="36"/>
      <c r="GP32" s="37"/>
      <c r="GQ32" s="35">
        <v>0</v>
      </c>
      <c r="GR32" s="36"/>
      <c r="GS32" s="36"/>
      <c r="GT32" s="36"/>
      <c r="GU32" s="36"/>
      <c r="GV32" s="36"/>
      <c r="GW32" s="36"/>
      <c r="GX32" s="36"/>
      <c r="GY32" s="36"/>
      <c r="GZ32" s="37"/>
      <c r="HA32" s="35">
        <v>0</v>
      </c>
      <c r="HB32" s="36"/>
      <c r="HC32" s="36"/>
      <c r="HD32" s="36"/>
      <c r="HE32" s="36"/>
      <c r="HF32" s="36"/>
      <c r="HG32" s="36"/>
      <c r="HH32" s="36"/>
      <c r="HI32" s="36"/>
      <c r="HJ32" s="37"/>
      <c r="HK32" s="35">
        <v>0</v>
      </c>
      <c r="HL32" s="36"/>
      <c r="HM32" s="36"/>
      <c r="HN32" s="36"/>
      <c r="HO32" s="36"/>
      <c r="HP32" s="36"/>
      <c r="HQ32" s="36"/>
      <c r="HR32" s="36"/>
      <c r="HS32" s="36"/>
      <c r="HT32" s="37"/>
      <c r="HU32" s="35">
        <v>0</v>
      </c>
      <c r="HV32" s="36"/>
      <c r="HW32" s="36"/>
      <c r="HX32" s="36"/>
      <c r="HY32" s="36"/>
      <c r="HZ32" s="36"/>
      <c r="IA32" s="36"/>
      <c r="IB32" s="36"/>
      <c r="IC32" s="36"/>
      <c r="ID32" s="37"/>
      <c r="IE32" s="35">
        <f t="shared" si="0"/>
        <v>1.0477952100423664</v>
      </c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42"/>
    </row>
    <row r="33" spans="1:250" s="7" customFormat="1" ht="77.25" customHeight="1">
      <c r="A33" s="26" t="s">
        <v>146</v>
      </c>
      <c r="B33" s="27"/>
      <c r="C33" s="27"/>
      <c r="D33" s="27"/>
      <c r="E33" s="28"/>
      <c r="F33" s="23" t="s">
        <v>66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6" t="s">
        <v>35</v>
      </c>
      <c r="AG33" s="17"/>
      <c r="AH33" s="17"/>
      <c r="AI33" s="17"/>
      <c r="AJ33" s="17"/>
      <c r="AK33" s="17"/>
      <c r="AL33" s="17"/>
      <c r="AM33" s="17"/>
      <c r="AN33" s="17"/>
      <c r="AO33" s="18"/>
      <c r="AP33" s="16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8"/>
      <c r="BG33" s="29">
        <v>42011</v>
      </c>
      <c r="BH33" s="30"/>
      <c r="BI33" s="30"/>
      <c r="BJ33" s="30"/>
      <c r="BK33" s="30"/>
      <c r="BL33" s="30"/>
      <c r="BM33" s="30"/>
      <c r="BN33" s="30"/>
      <c r="BO33" s="30"/>
      <c r="BP33" s="31"/>
      <c r="BQ33" s="29">
        <v>42017</v>
      </c>
      <c r="BR33" s="30"/>
      <c r="BS33" s="30"/>
      <c r="BT33" s="30"/>
      <c r="BU33" s="30"/>
      <c r="BV33" s="30"/>
      <c r="BW33" s="30"/>
      <c r="BX33" s="30"/>
      <c r="BY33" s="30"/>
      <c r="BZ33" s="31"/>
      <c r="CA33" s="35">
        <f>CO33</f>
        <v>5.301712928431882</v>
      </c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7"/>
      <c r="CO33" s="35">
        <f aca="true" t="shared" si="2" ref="CO33:CO44">IE33</f>
        <v>5.301712928431882</v>
      </c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7"/>
      <c r="DC33" s="35">
        <f aca="true" t="shared" si="3" ref="DC33:DC44">GG33</f>
        <v>0</v>
      </c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7"/>
      <c r="DQ33" s="16" t="s">
        <v>43</v>
      </c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8"/>
      <c r="EH33" s="16" t="s">
        <v>43</v>
      </c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8"/>
      <c r="EY33" s="16" t="s">
        <v>43</v>
      </c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8"/>
      <c r="FP33" s="16" t="s">
        <v>43</v>
      </c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8"/>
      <c r="GG33" s="35">
        <v>0</v>
      </c>
      <c r="GH33" s="36"/>
      <c r="GI33" s="36"/>
      <c r="GJ33" s="36"/>
      <c r="GK33" s="36"/>
      <c r="GL33" s="36"/>
      <c r="GM33" s="36"/>
      <c r="GN33" s="36"/>
      <c r="GO33" s="36"/>
      <c r="GP33" s="37"/>
      <c r="GQ33" s="35">
        <f>11.934*0.444252801108755</f>
        <v>5.301712928431882</v>
      </c>
      <c r="GR33" s="36"/>
      <c r="GS33" s="36"/>
      <c r="GT33" s="36"/>
      <c r="GU33" s="36"/>
      <c r="GV33" s="36"/>
      <c r="GW33" s="36"/>
      <c r="GX33" s="36"/>
      <c r="GY33" s="36"/>
      <c r="GZ33" s="37"/>
      <c r="HA33" s="35">
        <v>0</v>
      </c>
      <c r="HB33" s="36"/>
      <c r="HC33" s="36"/>
      <c r="HD33" s="36"/>
      <c r="HE33" s="36"/>
      <c r="HF33" s="36"/>
      <c r="HG33" s="36"/>
      <c r="HH33" s="36"/>
      <c r="HI33" s="36"/>
      <c r="HJ33" s="37"/>
      <c r="HK33" s="35">
        <v>0</v>
      </c>
      <c r="HL33" s="36"/>
      <c r="HM33" s="36"/>
      <c r="HN33" s="36"/>
      <c r="HO33" s="36"/>
      <c r="HP33" s="36"/>
      <c r="HQ33" s="36"/>
      <c r="HR33" s="36"/>
      <c r="HS33" s="36"/>
      <c r="HT33" s="37"/>
      <c r="HU33" s="35">
        <v>0</v>
      </c>
      <c r="HV33" s="36"/>
      <c r="HW33" s="36"/>
      <c r="HX33" s="36"/>
      <c r="HY33" s="36"/>
      <c r="HZ33" s="36"/>
      <c r="IA33" s="36"/>
      <c r="IB33" s="36"/>
      <c r="IC33" s="36"/>
      <c r="ID33" s="37"/>
      <c r="IE33" s="35">
        <f t="shared" si="0"/>
        <v>5.301712928431882</v>
      </c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42"/>
    </row>
    <row r="34" spans="1:250" s="7" customFormat="1" ht="78" customHeight="1">
      <c r="A34" s="26" t="s">
        <v>147</v>
      </c>
      <c r="B34" s="27"/>
      <c r="C34" s="27"/>
      <c r="D34" s="27"/>
      <c r="E34" s="28"/>
      <c r="F34" s="23" t="s">
        <v>67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6"/>
      <c r="AG34" s="17"/>
      <c r="AH34" s="17"/>
      <c r="AI34" s="17"/>
      <c r="AJ34" s="17"/>
      <c r="AK34" s="17"/>
      <c r="AL34" s="17"/>
      <c r="AM34" s="17"/>
      <c r="AN34" s="17"/>
      <c r="AO34" s="18"/>
      <c r="AP34" s="16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8"/>
      <c r="BG34" s="29">
        <v>12018</v>
      </c>
      <c r="BH34" s="30"/>
      <c r="BI34" s="30"/>
      <c r="BJ34" s="30"/>
      <c r="BK34" s="30"/>
      <c r="BL34" s="30"/>
      <c r="BM34" s="30"/>
      <c r="BN34" s="30"/>
      <c r="BO34" s="30"/>
      <c r="BP34" s="31"/>
      <c r="BQ34" s="29">
        <v>42019</v>
      </c>
      <c r="BR34" s="30"/>
      <c r="BS34" s="30"/>
      <c r="BT34" s="30"/>
      <c r="BU34" s="30"/>
      <c r="BV34" s="30"/>
      <c r="BW34" s="30"/>
      <c r="BX34" s="30"/>
      <c r="BY34" s="30"/>
      <c r="BZ34" s="31"/>
      <c r="CA34" s="35">
        <f>CO34</f>
        <v>39.59044370994981</v>
      </c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7"/>
      <c r="CO34" s="35">
        <f t="shared" si="2"/>
        <v>39.59044370994981</v>
      </c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7"/>
      <c r="DC34" s="35">
        <f t="shared" si="3"/>
        <v>0</v>
      </c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7"/>
      <c r="DQ34" s="16" t="s">
        <v>43</v>
      </c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8"/>
      <c r="EH34" s="16" t="s">
        <v>43</v>
      </c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8"/>
      <c r="EY34" s="16" t="s">
        <v>43</v>
      </c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8"/>
      <c r="FP34" s="16" t="s">
        <v>43</v>
      </c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8"/>
      <c r="GG34" s="35">
        <v>0</v>
      </c>
      <c r="GH34" s="36"/>
      <c r="GI34" s="36"/>
      <c r="GJ34" s="36"/>
      <c r="GK34" s="36"/>
      <c r="GL34" s="36"/>
      <c r="GM34" s="36"/>
      <c r="GN34" s="36"/>
      <c r="GO34" s="36"/>
      <c r="GP34" s="37"/>
      <c r="GQ34" s="35">
        <v>0</v>
      </c>
      <c r="GR34" s="36"/>
      <c r="GS34" s="36"/>
      <c r="GT34" s="36"/>
      <c r="GU34" s="36"/>
      <c r="GV34" s="36"/>
      <c r="GW34" s="36"/>
      <c r="GX34" s="36"/>
      <c r="GY34" s="36"/>
      <c r="GZ34" s="37"/>
      <c r="HA34" s="35">
        <v>10</v>
      </c>
      <c r="HB34" s="36"/>
      <c r="HC34" s="36"/>
      <c r="HD34" s="36"/>
      <c r="HE34" s="36"/>
      <c r="HF34" s="36"/>
      <c r="HG34" s="36"/>
      <c r="HH34" s="36"/>
      <c r="HI34" s="36"/>
      <c r="HJ34" s="37"/>
      <c r="HK34" s="35">
        <f>67.17*0.440530649247429</f>
        <v>29.59044370994981</v>
      </c>
      <c r="HL34" s="36"/>
      <c r="HM34" s="36"/>
      <c r="HN34" s="36"/>
      <c r="HO34" s="36"/>
      <c r="HP34" s="36"/>
      <c r="HQ34" s="36"/>
      <c r="HR34" s="36"/>
      <c r="HS34" s="36"/>
      <c r="HT34" s="37"/>
      <c r="HU34" s="35">
        <v>0</v>
      </c>
      <c r="HV34" s="36"/>
      <c r="HW34" s="36"/>
      <c r="HX34" s="36"/>
      <c r="HY34" s="36"/>
      <c r="HZ34" s="36"/>
      <c r="IA34" s="36"/>
      <c r="IB34" s="36"/>
      <c r="IC34" s="36"/>
      <c r="ID34" s="37"/>
      <c r="IE34" s="35">
        <f t="shared" si="0"/>
        <v>39.59044370994981</v>
      </c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42"/>
    </row>
    <row r="35" spans="1:250" s="7" customFormat="1" ht="64.5" customHeight="1">
      <c r="A35" s="26" t="s">
        <v>148</v>
      </c>
      <c r="B35" s="27"/>
      <c r="C35" s="27"/>
      <c r="D35" s="27"/>
      <c r="E35" s="28"/>
      <c r="F35" s="23" t="s">
        <v>68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6" t="s">
        <v>35</v>
      </c>
      <c r="AG35" s="17"/>
      <c r="AH35" s="17"/>
      <c r="AI35" s="17"/>
      <c r="AJ35" s="17"/>
      <c r="AK35" s="17"/>
      <c r="AL35" s="17"/>
      <c r="AM35" s="17"/>
      <c r="AN35" s="17"/>
      <c r="AO35" s="18"/>
      <c r="AP35" s="16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8"/>
      <c r="BG35" s="29">
        <v>32015</v>
      </c>
      <c r="BH35" s="30"/>
      <c r="BI35" s="30"/>
      <c r="BJ35" s="30"/>
      <c r="BK35" s="30"/>
      <c r="BL35" s="30"/>
      <c r="BM35" s="30"/>
      <c r="BN35" s="30"/>
      <c r="BO35" s="30"/>
      <c r="BP35" s="31"/>
      <c r="BQ35" s="29">
        <v>42016</v>
      </c>
      <c r="BR35" s="30"/>
      <c r="BS35" s="30"/>
      <c r="BT35" s="30"/>
      <c r="BU35" s="30"/>
      <c r="BV35" s="30"/>
      <c r="BW35" s="30"/>
      <c r="BX35" s="30"/>
      <c r="BY35" s="30"/>
      <c r="BZ35" s="31"/>
      <c r="CA35" s="35">
        <f>CO35+6.7</f>
        <v>15.069867711059661</v>
      </c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7"/>
      <c r="CO35" s="35">
        <f t="shared" si="2"/>
        <v>8.36986771105966</v>
      </c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7"/>
      <c r="DC35" s="35">
        <f t="shared" si="3"/>
        <v>8.36986771105966</v>
      </c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7"/>
      <c r="DQ35" s="16" t="s">
        <v>43</v>
      </c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8"/>
      <c r="EH35" s="16" t="s">
        <v>43</v>
      </c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8"/>
      <c r="EY35" s="16" t="s">
        <v>43</v>
      </c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8"/>
      <c r="FP35" s="16" t="s">
        <v>43</v>
      </c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8"/>
      <c r="GG35" s="35">
        <f>69.001*0.121300672614305</f>
        <v>8.36986771105966</v>
      </c>
      <c r="GH35" s="36"/>
      <c r="GI35" s="36"/>
      <c r="GJ35" s="36"/>
      <c r="GK35" s="36"/>
      <c r="GL35" s="36"/>
      <c r="GM35" s="36"/>
      <c r="GN35" s="36"/>
      <c r="GO35" s="36"/>
      <c r="GP35" s="37"/>
      <c r="GQ35" s="35">
        <v>0</v>
      </c>
      <c r="GR35" s="36"/>
      <c r="GS35" s="36"/>
      <c r="GT35" s="36"/>
      <c r="GU35" s="36"/>
      <c r="GV35" s="36"/>
      <c r="GW35" s="36"/>
      <c r="GX35" s="36"/>
      <c r="GY35" s="36"/>
      <c r="GZ35" s="37"/>
      <c r="HA35" s="35">
        <v>0</v>
      </c>
      <c r="HB35" s="36"/>
      <c r="HC35" s="36"/>
      <c r="HD35" s="36"/>
      <c r="HE35" s="36"/>
      <c r="HF35" s="36"/>
      <c r="HG35" s="36"/>
      <c r="HH35" s="36"/>
      <c r="HI35" s="36"/>
      <c r="HJ35" s="37"/>
      <c r="HK35" s="35">
        <v>0</v>
      </c>
      <c r="HL35" s="36"/>
      <c r="HM35" s="36"/>
      <c r="HN35" s="36"/>
      <c r="HO35" s="36"/>
      <c r="HP35" s="36"/>
      <c r="HQ35" s="36"/>
      <c r="HR35" s="36"/>
      <c r="HS35" s="36"/>
      <c r="HT35" s="37"/>
      <c r="HU35" s="35">
        <v>0</v>
      </c>
      <c r="HV35" s="36"/>
      <c r="HW35" s="36"/>
      <c r="HX35" s="36"/>
      <c r="HY35" s="36"/>
      <c r="HZ35" s="36"/>
      <c r="IA35" s="36"/>
      <c r="IB35" s="36"/>
      <c r="IC35" s="36"/>
      <c r="ID35" s="37"/>
      <c r="IE35" s="35">
        <f t="shared" si="0"/>
        <v>8.36986771105966</v>
      </c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42"/>
    </row>
    <row r="36" spans="1:250" s="7" customFormat="1" ht="59.25" customHeight="1">
      <c r="A36" s="26" t="s">
        <v>149</v>
      </c>
      <c r="B36" s="27"/>
      <c r="C36" s="27"/>
      <c r="D36" s="27"/>
      <c r="E36" s="28"/>
      <c r="F36" s="23" t="s">
        <v>69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16"/>
      <c r="AG36" s="17"/>
      <c r="AH36" s="17"/>
      <c r="AI36" s="17"/>
      <c r="AJ36" s="17"/>
      <c r="AK36" s="17"/>
      <c r="AL36" s="17"/>
      <c r="AM36" s="17"/>
      <c r="AN36" s="17"/>
      <c r="AO36" s="18"/>
      <c r="AP36" s="16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8"/>
      <c r="BG36" s="29">
        <v>12019</v>
      </c>
      <c r="BH36" s="30"/>
      <c r="BI36" s="30"/>
      <c r="BJ36" s="30"/>
      <c r="BK36" s="30"/>
      <c r="BL36" s="30"/>
      <c r="BM36" s="30"/>
      <c r="BN36" s="30"/>
      <c r="BO36" s="30"/>
      <c r="BP36" s="31"/>
      <c r="BQ36" s="29">
        <v>42019</v>
      </c>
      <c r="BR36" s="30"/>
      <c r="BS36" s="30"/>
      <c r="BT36" s="30"/>
      <c r="BU36" s="30"/>
      <c r="BV36" s="30"/>
      <c r="BW36" s="30"/>
      <c r="BX36" s="30"/>
      <c r="BY36" s="30"/>
      <c r="BZ36" s="31"/>
      <c r="CA36" s="35">
        <f>CO36</f>
        <v>6.563025612488198</v>
      </c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7"/>
      <c r="CO36" s="35">
        <f t="shared" si="2"/>
        <v>6.563025612488198</v>
      </c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7"/>
      <c r="DC36" s="35">
        <f t="shared" si="3"/>
        <v>0</v>
      </c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7"/>
      <c r="DQ36" s="16" t="s">
        <v>43</v>
      </c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8"/>
      <c r="EH36" s="16" t="s">
        <v>43</v>
      </c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8"/>
      <c r="EY36" s="16" t="s">
        <v>43</v>
      </c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8"/>
      <c r="FP36" s="16" t="s">
        <v>43</v>
      </c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8"/>
      <c r="GG36" s="35">
        <v>0</v>
      </c>
      <c r="GH36" s="36"/>
      <c r="GI36" s="36"/>
      <c r="GJ36" s="36"/>
      <c r="GK36" s="36"/>
      <c r="GL36" s="36"/>
      <c r="GM36" s="36"/>
      <c r="GN36" s="36"/>
      <c r="GO36" s="36"/>
      <c r="GP36" s="37"/>
      <c r="GQ36" s="35">
        <v>0</v>
      </c>
      <c r="GR36" s="36"/>
      <c r="GS36" s="36"/>
      <c r="GT36" s="36"/>
      <c r="GU36" s="36"/>
      <c r="GV36" s="36"/>
      <c r="GW36" s="36"/>
      <c r="GX36" s="36"/>
      <c r="GY36" s="36"/>
      <c r="GZ36" s="37"/>
      <c r="HA36" s="35">
        <v>0</v>
      </c>
      <c r="HB36" s="36"/>
      <c r="HC36" s="36"/>
      <c r="HD36" s="36"/>
      <c r="HE36" s="36"/>
      <c r="HF36" s="36"/>
      <c r="HG36" s="36"/>
      <c r="HH36" s="36"/>
      <c r="HI36" s="36"/>
      <c r="HJ36" s="37"/>
      <c r="HK36" s="35">
        <f>14.898*0.440530649247429</f>
        <v>6.563025612488198</v>
      </c>
      <c r="HL36" s="36"/>
      <c r="HM36" s="36"/>
      <c r="HN36" s="36"/>
      <c r="HO36" s="36"/>
      <c r="HP36" s="36"/>
      <c r="HQ36" s="36"/>
      <c r="HR36" s="36"/>
      <c r="HS36" s="36"/>
      <c r="HT36" s="37"/>
      <c r="HU36" s="35">
        <v>0</v>
      </c>
      <c r="HV36" s="36"/>
      <c r="HW36" s="36"/>
      <c r="HX36" s="36"/>
      <c r="HY36" s="36"/>
      <c r="HZ36" s="36"/>
      <c r="IA36" s="36"/>
      <c r="IB36" s="36"/>
      <c r="IC36" s="36"/>
      <c r="ID36" s="37"/>
      <c r="IE36" s="35">
        <f t="shared" si="0"/>
        <v>6.563025612488198</v>
      </c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42"/>
    </row>
    <row r="37" spans="1:250" s="7" customFormat="1" ht="63.75" customHeight="1">
      <c r="A37" s="26" t="s">
        <v>150</v>
      </c>
      <c r="B37" s="27"/>
      <c r="C37" s="27"/>
      <c r="D37" s="27"/>
      <c r="E37" s="28"/>
      <c r="F37" s="23" t="s">
        <v>70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5"/>
      <c r="AF37" s="16"/>
      <c r="AG37" s="17"/>
      <c r="AH37" s="17"/>
      <c r="AI37" s="17"/>
      <c r="AJ37" s="17"/>
      <c r="AK37" s="17"/>
      <c r="AL37" s="17"/>
      <c r="AM37" s="17"/>
      <c r="AN37" s="17"/>
      <c r="AO37" s="18"/>
      <c r="AP37" s="16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8"/>
      <c r="BG37" s="29">
        <v>42016</v>
      </c>
      <c r="BH37" s="30"/>
      <c r="BI37" s="30"/>
      <c r="BJ37" s="30"/>
      <c r="BK37" s="30"/>
      <c r="BL37" s="30"/>
      <c r="BM37" s="30"/>
      <c r="BN37" s="30"/>
      <c r="BO37" s="30"/>
      <c r="BP37" s="31"/>
      <c r="BQ37" s="29">
        <v>42017</v>
      </c>
      <c r="BR37" s="30"/>
      <c r="BS37" s="30"/>
      <c r="BT37" s="30"/>
      <c r="BU37" s="30"/>
      <c r="BV37" s="30"/>
      <c r="BW37" s="30"/>
      <c r="BX37" s="30"/>
      <c r="BY37" s="30"/>
      <c r="BZ37" s="31"/>
      <c r="CA37" s="35">
        <f>CO37</f>
        <v>44.04445327118767</v>
      </c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7"/>
      <c r="CO37" s="35">
        <f t="shared" si="2"/>
        <v>44.04445327118767</v>
      </c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7"/>
      <c r="DC37" s="35">
        <f t="shared" si="3"/>
        <v>4.8520269045722</v>
      </c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7"/>
      <c r="DQ37" s="16" t="s">
        <v>43</v>
      </c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8"/>
      <c r="EH37" s="16" t="s">
        <v>43</v>
      </c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8"/>
      <c r="EY37" s="16" t="s">
        <v>43</v>
      </c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8"/>
      <c r="FP37" s="16" t="s">
        <v>43</v>
      </c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8"/>
      <c r="GG37" s="35">
        <f>40*0.121300672614305</f>
        <v>4.8520269045722</v>
      </c>
      <c r="GH37" s="36"/>
      <c r="GI37" s="36"/>
      <c r="GJ37" s="36"/>
      <c r="GK37" s="36"/>
      <c r="GL37" s="36"/>
      <c r="GM37" s="36"/>
      <c r="GN37" s="36"/>
      <c r="GO37" s="36"/>
      <c r="GP37" s="37"/>
      <c r="GQ37" s="35">
        <f>88.221*0.444252801108755</f>
        <v>39.19242636661547</v>
      </c>
      <c r="GR37" s="36"/>
      <c r="GS37" s="36"/>
      <c r="GT37" s="36"/>
      <c r="GU37" s="36"/>
      <c r="GV37" s="36"/>
      <c r="GW37" s="36"/>
      <c r="GX37" s="36"/>
      <c r="GY37" s="36"/>
      <c r="GZ37" s="37"/>
      <c r="HA37" s="35">
        <v>0</v>
      </c>
      <c r="HB37" s="36"/>
      <c r="HC37" s="36"/>
      <c r="HD37" s="36"/>
      <c r="HE37" s="36"/>
      <c r="HF37" s="36"/>
      <c r="HG37" s="36"/>
      <c r="HH37" s="36"/>
      <c r="HI37" s="36"/>
      <c r="HJ37" s="37"/>
      <c r="HK37" s="35">
        <v>0</v>
      </c>
      <c r="HL37" s="36"/>
      <c r="HM37" s="36"/>
      <c r="HN37" s="36"/>
      <c r="HO37" s="36"/>
      <c r="HP37" s="36"/>
      <c r="HQ37" s="36"/>
      <c r="HR37" s="36"/>
      <c r="HS37" s="36"/>
      <c r="HT37" s="37"/>
      <c r="HU37" s="35">
        <v>0</v>
      </c>
      <c r="HV37" s="36"/>
      <c r="HW37" s="36"/>
      <c r="HX37" s="36"/>
      <c r="HY37" s="36"/>
      <c r="HZ37" s="36"/>
      <c r="IA37" s="36"/>
      <c r="IB37" s="36"/>
      <c r="IC37" s="36"/>
      <c r="ID37" s="37"/>
      <c r="IE37" s="35">
        <f t="shared" si="0"/>
        <v>44.04445327118767</v>
      </c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42"/>
    </row>
    <row r="38" spans="1:250" s="7" customFormat="1" ht="71.25" customHeight="1">
      <c r="A38" s="26" t="s">
        <v>151</v>
      </c>
      <c r="B38" s="27"/>
      <c r="C38" s="27"/>
      <c r="D38" s="27"/>
      <c r="E38" s="28"/>
      <c r="F38" s="23" t="s">
        <v>71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F38" s="16" t="s">
        <v>130</v>
      </c>
      <c r="AG38" s="17"/>
      <c r="AH38" s="17"/>
      <c r="AI38" s="17"/>
      <c r="AJ38" s="17"/>
      <c r="AK38" s="17"/>
      <c r="AL38" s="17"/>
      <c r="AM38" s="17"/>
      <c r="AN38" s="17"/>
      <c r="AO38" s="18"/>
      <c r="AP38" s="16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8"/>
      <c r="BG38" s="29">
        <v>32013</v>
      </c>
      <c r="BH38" s="30"/>
      <c r="BI38" s="30"/>
      <c r="BJ38" s="30"/>
      <c r="BK38" s="30"/>
      <c r="BL38" s="30"/>
      <c r="BM38" s="30"/>
      <c r="BN38" s="30"/>
      <c r="BO38" s="30"/>
      <c r="BP38" s="31"/>
      <c r="BQ38" s="29">
        <v>42016</v>
      </c>
      <c r="BR38" s="30"/>
      <c r="BS38" s="30"/>
      <c r="BT38" s="30"/>
      <c r="BU38" s="30"/>
      <c r="BV38" s="30"/>
      <c r="BW38" s="30"/>
      <c r="BX38" s="30"/>
      <c r="BY38" s="30"/>
      <c r="BZ38" s="31"/>
      <c r="CA38" s="35">
        <f>CO38+0.01035+0.04439</f>
        <v>2.927139927506742</v>
      </c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7"/>
      <c r="CO38" s="35">
        <f t="shared" si="2"/>
        <v>2.8723999275067422</v>
      </c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7"/>
      <c r="DC38" s="35">
        <f t="shared" si="3"/>
        <v>2.8723999275067422</v>
      </c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7"/>
      <c r="DQ38" s="16" t="s">
        <v>43</v>
      </c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8"/>
      <c r="EH38" s="16" t="s">
        <v>43</v>
      </c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8"/>
      <c r="EY38" s="16" t="s">
        <v>43</v>
      </c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8"/>
      <c r="FP38" s="16" t="s">
        <v>43</v>
      </c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8"/>
      <c r="GG38" s="35">
        <f>23.68*0.121300672614305</f>
        <v>2.8723999275067422</v>
      </c>
      <c r="GH38" s="36"/>
      <c r="GI38" s="36"/>
      <c r="GJ38" s="36"/>
      <c r="GK38" s="36"/>
      <c r="GL38" s="36"/>
      <c r="GM38" s="36"/>
      <c r="GN38" s="36"/>
      <c r="GO38" s="36"/>
      <c r="GP38" s="37"/>
      <c r="GQ38" s="35">
        <v>0</v>
      </c>
      <c r="GR38" s="36"/>
      <c r="GS38" s="36"/>
      <c r="GT38" s="36"/>
      <c r="GU38" s="36"/>
      <c r="GV38" s="36"/>
      <c r="GW38" s="36"/>
      <c r="GX38" s="36"/>
      <c r="GY38" s="36"/>
      <c r="GZ38" s="37"/>
      <c r="HA38" s="35">
        <v>0</v>
      </c>
      <c r="HB38" s="36"/>
      <c r="HC38" s="36"/>
      <c r="HD38" s="36"/>
      <c r="HE38" s="36"/>
      <c r="HF38" s="36"/>
      <c r="HG38" s="36"/>
      <c r="HH38" s="36"/>
      <c r="HI38" s="36"/>
      <c r="HJ38" s="37"/>
      <c r="HK38" s="35">
        <v>0</v>
      </c>
      <c r="HL38" s="36"/>
      <c r="HM38" s="36"/>
      <c r="HN38" s="36"/>
      <c r="HO38" s="36"/>
      <c r="HP38" s="36"/>
      <c r="HQ38" s="36"/>
      <c r="HR38" s="36"/>
      <c r="HS38" s="36"/>
      <c r="HT38" s="37"/>
      <c r="HU38" s="35">
        <v>0</v>
      </c>
      <c r="HV38" s="36"/>
      <c r="HW38" s="36"/>
      <c r="HX38" s="36"/>
      <c r="HY38" s="36"/>
      <c r="HZ38" s="36"/>
      <c r="IA38" s="36"/>
      <c r="IB38" s="36"/>
      <c r="IC38" s="36"/>
      <c r="ID38" s="37"/>
      <c r="IE38" s="35">
        <f t="shared" si="0"/>
        <v>2.8723999275067422</v>
      </c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42"/>
    </row>
    <row r="39" spans="1:250" s="7" customFormat="1" ht="85.5" customHeight="1">
      <c r="A39" s="26" t="s">
        <v>152</v>
      </c>
      <c r="B39" s="27"/>
      <c r="C39" s="27"/>
      <c r="D39" s="27"/>
      <c r="E39" s="28"/>
      <c r="F39" s="23" t="s">
        <v>72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5"/>
      <c r="AF39" s="16"/>
      <c r="AG39" s="17"/>
      <c r="AH39" s="17"/>
      <c r="AI39" s="17"/>
      <c r="AJ39" s="17"/>
      <c r="AK39" s="17"/>
      <c r="AL39" s="17"/>
      <c r="AM39" s="17"/>
      <c r="AN39" s="17"/>
      <c r="AO39" s="18"/>
      <c r="AP39" s="16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8"/>
      <c r="BG39" s="29">
        <v>42016</v>
      </c>
      <c r="BH39" s="30"/>
      <c r="BI39" s="30"/>
      <c r="BJ39" s="30"/>
      <c r="BK39" s="30"/>
      <c r="BL39" s="30"/>
      <c r="BM39" s="30"/>
      <c r="BN39" s="30"/>
      <c r="BO39" s="30"/>
      <c r="BP39" s="31"/>
      <c r="BQ39" s="29">
        <v>42017</v>
      </c>
      <c r="BR39" s="30"/>
      <c r="BS39" s="30"/>
      <c r="BT39" s="30"/>
      <c r="BU39" s="30"/>
      <c r="BV39" s="30"/>
      <c r="BW39" s="30"/>
      <c r="BX39" s="30"/>
      <c r="BY39" s="30"/>
      <c r="BZ39" s="31"/>
      <c r="CA39" s="35">
        <f>CO39</f>
        <v>11.252494407188127</v>
      </c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7"/>
      <c r="CO39" s="35">
        <f t="shared" si="2"/>
        <v>11.252494407188127</v>
      </c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7"/>
      <c r="DC39" s="35">
        <f t="shared" si="3"/>
        <v>0.1870456371712583</v>
      </c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7"/>
      <c r="DQ39" s="16" t="s">
        <v>43</v>
      </c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8"/>
      <c r="EH39" s="16" t="s">
        <v>43</v>
      </c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8"/>
      <c r="EY39" s="16" t="s">
        <v>43</v>
      </c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8"/>
      <c r="FP39" s="16" t="s">
        <v>43</v>
      </c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8"/>
      <c r="GG39" s="35">
        <f>1.542*0.121300672614305</f>
        <v>0.1870456371712583</v>
      </c>
      <c r="GH39" s="36"/>
      <c r="GI39" s="36"/>
      <c r="GJ39" s="36"/>
      <c r="GK39" s="36"/>
      <c r="GL39" s="36"/>
      <c r="GM39" s="36"/>
      <c r="GN39" s="36"/>
      <c r="GO39" s="36"/>
      <c r="GP39" s="37"/>
      <c r="GQ39" s="35">
        <f>24.908*0.444252801108755</f>
        <v>11.06544877001687</v>
      </c>
      <c r="GR39" s="36"/>
      <c r="GS39" s="36"/>
      <c r="GT39" s="36"/>
      <c r="GU39" s="36"/>
      <c r="GV39" s="36"/>
      <c r="GW39" s="36"/>
      <c r="GX39" s="36"/>
      <c r="GY39" s="36"/>
      <c r="GZ39" s="37"/>
      <c r="HA39" s="35">
        <v>0</v>
      </c>
      <c r="HB39" s="36"/>
      <c r="HC39" s="36"/>
      <c r="HD39" s="36"/>
      <c r="HE39" s="36"/>
      <c r="HF39" s="36"/>
      <c r="HG39" s="36"/>
      <c r="HH39" s="36"/>
      <c r="HI39" s="36"/>
      <c r="HJ39" s="37"/>
      <c r="HK39" s="35">
        <v>0</v>
      </c>
      <c r="HL39" s="36"/>
      <c r="HM39" s="36"/>
      <c r="HN39" s="36"/>
      <c r="HO39" s="36"/>
      <c r="HP39" s="36"/>
      <c r="HQ39" s="36"/>
      <c r="HR39" s="36"/>
      <c r="HS39" s="36"/>
      <c r="HT39" s="37"/>
      <c r="HU39" s="35">
        <v>0</v>
      </c>
      <c r="HV39" s="36"/>
      <c r="HW39" s="36"/>
      <c r="HX39" s="36"/>
      <c r="HY39" s="36"/>
      <c r="HZ39" s="36"/>
      <c r="IA39" s="36"/>
      <c r="IB39" s="36"/>
      <c r="IC39" s="36"/>
      <c r="ID39" s="37"/>
      <c r="IE39" s="35">
        <f t="shared" si="0"/>
        <v>11.252494407188127</v>
      </c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42"/>
    </row>
    <row r="40" spans="1:250" s="7" customFormat="1" ht="63.75" customHeight="1">
      <c r="A40" s="26" t="s">
        <v>153</v>
      </c>
      <c r="B40" s="27"/>
      <c r="C40" s="27"/>
      <c r="D40" s="27"/>
      <c r="E40" s="28"/>
      <c r="F40" s="23" t="s">
        <v>73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16" t="s">
        <v>130</v>
      </c>
      <c r="AG40" s="17"/>
      <c r="AH40" s="17"/>
      <c r="AI40" s="17"/>
      <c r="AJ40" s="17"/>
      <c r="AK40" s="17"/>
      <c r="AL40" s="17"/>
      <c r="AM40" s="17"/>
      <c r="AN40" s="17"/>
      <c r="AO40" s="18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8"/>
      <c r="BG40" s="29">
        <v>42016</v>
      </c>
      <c r="BH40" s="30"/>
      <c r="BI40" s="30"/>
      <c r="BJ40" s="30"/>
      <c r="BK40" s="30"/>
      <c r="BL40" s="30"/>
      <c r="BM40" s="30"/>
      <c r="BN40" s="30"/>
      <c r="BO40" s="30"/>
      <c r="BP40" s="31"/>
      <c r="BQ40" s="29">
        <v>42018</v>
      </c>
      <c r="BR40" s="30"/>
      <c r="BS40" s="30"/>
      <c r="BT40" s="30"/>
      <c r="BU40" s="30"/>
      <c r="BV40" s="30"/>
      <c r="BW40" s="30"/>
      <c r="BX40" s="30"/>
      <c r="BY40" s="30"/>
      <c r="BZ40" s="31"/>
      <c r="CA40" s="35">
        <f>CO40</f>
        <v>11.675167683156603</v>
      </c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7"/>
      <c r="CO40" s="35">
        <f t="shared" si="2"/>
        <v>11.675167683156603</v>
      </c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7"/>
      <c r="DC40" s="35">
        <f t="shared" si="3"/>
        <v>0.10516768315660242</v>
      </c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7"/>
      <c r="DQ40" s="16" t="s">
        <v>43</v>
      </c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8"/>
      <c r="EH40" s="16" t="s">
        <v>43</v>
      </c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8"/>
      <c r="EY40" s="16" t="s">
        <v>43</v>
      </c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8"/>
      <c r="FP40" s="16" t="s">
        <v>43</v>
      </c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8"/>
      <c r="GG40" s="35">
        <f>0.867*0.121300672614305</f>
        <v>0.10516768315660242</v>
      </c>
      <c r="GH40" s="36"/>
      <c r="GI40" s="36"/>
      <c r="GJ40" s="36"/>
      <c r="GK40" s="36"/>
      <c r="GL40" s="36"/>
      <c r="GM40" s="36"/>
      <c r="GN40" s="36"/>
      <c r="GO40" s="36"/>
      <c r="GP40" s="37"/>
      <c r="GQ40" s="35">
        <v>0</v>
      </c>
      <c r="GR40" s="36"/>
      <c r="GS40" s="36"/>
      <c r="GT40" s="36"/>
      <c r="GU40" s="36"/>
      <c r="GV40" s="36"/>
      <c r="GW40" s="36"/>
      <c r="GX40" s="36"/>
      <c r="GY40" s="36"/>
      <c r="GZ40" s="37"/>
      <c r="HA40" s="35">
        <v>11.57</v>
      </c>
      <c r="HB40" s="36"/>
      <c r="HC40" s="36"/>
      <c r="HD40" s="36"/>
      <c r="HE40" s="36"/>
      <c r="HF40" s="36"/>
      <c r="HG40" s="36"/>
      <c r="HH40" s="36"/>
      <c r="HI40" s="36"/>
      <c r="HJ40" s="37"/>
      <c r="HK40" s="35">
        <v>0</v>
      </c>
      <c r="HL40" s="36"/>
      <c r="HM40" s="36"/>
      <c r="HN40" s="36"/>
      <c r="HO40" s="36"/>
      <c r="HP40" s="36"/>
      <c r="HQ40" s="36"/>
      <c r="HR40" s="36"/>
      <c r="HS40" s="36"/>
      <c r="HT40" s="37"/>
      <c r="HU40" s="35">
        <v>0</v>
      </c>
      <c r="HV40" s="36"/>
      <c r="HW40" s="36"/>
      <c r="HX40" s="36"/>
      <c r="HY40" s="36"/>
      <c r="HZ40" s="36"/>
      <c r="IA40" s="36"/>
      <c r="IB40" s="36"/>
      <c r="IC40" s="36"/>
      <c r="ID40" s="37"/>
      <c r="IE40" s="35">
        <f t="shared" si="0"/>
        <v>11.675167683156603</v>
      </c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42"/>
    </row>
    <row r="41" spans="1:250" s="6" customFormat="1" ht="56.25" customHeight="1">
      <c r="A41" s="26" t="s">
        <v>154</v>
      </c>
      <c r="B41" s="27"/>
      <c r="C41" s="27"/>
      <c r="D41" s="27"/>
      <c r="E41" s="28"/>
      <c r="F41" s="23" t="s">
        <v>74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  <c r="AF41" s="16" t="s">
        <v>35</v>
      </c>
      <c r="AG41" s="17"/>
      <c r="AH41" s="17"/>
      <c r="AI41" s="17"/>
      <c r="AJ41" s="17"/>
      <c r="AK41" s="17"/>
      <c r="AL41" s="17"/>
      <c r="AM41" s="17"/>
      <c r="AN41" s="17"/>
      <c r="AO41" s="18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8"/>
      <c r="BG41" s="29">
        <v>22011</v>
      </c>
      <c r="BH41" s="30"/>
      <c r="BI41" s="30"/>
      <c r="BJ41" s="30"/>
      <c r="BK41" s="30"/>
      <c r="BL41" s="30"/>
      <c r="BM41" s="30"/>
      <c r="BN41" s="30"/>
      <c r="BO41" s="30"/>
      <c r="BP41" s="31"/>
      <c r="BQ41" s="29">
        <v>42020</v>
      </c>
      <c r="BR41" s="30"/>
      <c r="BS41" s="30"/>
      <c r="BT41" s="30"/>
      <c r="BU41" s="30"/>
      <c r="BV41" s="30"/>
      <c r="BW41" s="30"/>
      <c r="BX41" s="30"/>
      <c r="BY41" s="30"/>
      <c r="BZ41" s="31"/>
      <c r="CA41" s="35">
        <v>20.4160648791084</v>
      </c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7"/>
      <c r="CO41" s="35">
        <f t="shared" si="2"/>
        <v>19.396</v>
      </c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7"/>
      <c r="DC41" s="35">
        <f t="shared" si="3"/>
        <v>0</v>
      </c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7"/>
      <c r="DQ41" s="16" t="s">
        <v>43</v>
      </c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8"/>
      <c r="EH41" s="16" t="s">
        <v>43</v>
      </c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8"/>
      <c r="EY41" s="16" t="s">
        <v>43</v>
      </c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8"/>
      <c r="FP41" s="16" t="s">
        <v>43</v>
      </c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8"/>
      <c r="GG41" s="35">
        <v>0</v>
      </c>
      <c r="GH41" s="36"/>
      <c r="GI41" s="36"/>
      <c r="GJ41" s="36"/>
      <c r="GK41" s="36"/>
      <c r="GL41" s="36"/>
      <c r="GM41" s="36"/>
      <c r="GN41" s="36"/>
      <c r="GO41" s="36"/>
      <c r="GP41" s="37"/>
      <c r="GQ41" s="35">
        <v>0</v>
      </c>
      <c r="GR41" s="36"/>
      <c r="GS41" s="36"/>
      <c r="GT41" s="36"/>
      <c r="GU41" s="36"/>
      <c r="GV41" s="36"/>
      <c r="GW41" s="36"/>
      <c r="GX41" s="36"/>
      <c r="GY41" s="36"/>
      <c r="GZ41" s="37"/>
      <c r="HA41" s="35">
        <v>0</v>
      </c>
      <c r="HB41" s="36"/>
      <c r="HC41" s="36"/>
      <c r="HD41" s="36"/>
      <c r="HE41" s="36"/>
      <c r="HF41" s="36"/>
      <c r="HG41" s="36"/>
      <c r="HH41" s="36"/>
      <c r="HI41" s="36"/>
      <c r="HJ41" s="37"/>
      <c r="HK41" s="35">
        <v>0</v>
      </c>
      <c r="HL41" s="36"/>
      <c r="HM41" s="36"/>
      <c r="HN41" s="36"/>
      <c r="HO41" s="36"/>
      <c r="HP41" s="36"/>
      <c r="HQ41" s="36"/>
      <c r="HR41" s="36"/>
      <c r="HS41" s="36"/>
      <c r="HT41" s="37"/>
      <c r="HU41" s="35">
        <v>19.396</v>
      </c>
      <c r="HV41" s="36"/>
      <c r="HW41" s="36"/>
      <c r="HX41" s="36"/>
      <c r="HY41" s="36"/>
      <c r="HZ41" s="36"/>
      <c r="IA41" s="36"/>
      <c r="IB41" s="36"/>
      <c r="IC41" s="36"/>
      <c r="ID41" s="37"/>
      <c r="IE41" s="35">
        <f t="shared" si="0"/>
        <v>19.396</v>
      </c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42"/>
    </row>
    <row r="42" spans="1:250" s="7" customFormat="1" ht="75" customHeight="1">
      <c r="A42" s="26" t="s">
        <v>155</v>
      </c>
      <c r="B42" s="27"/>
      <c r="C42" s="27"/>
      <c r="D42" s="27"/>
      <c r="E42" s="28"/>
      <c r="F42" s="23" t="s">
        <v>75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  <c r="AF42" s="16"/>
      <c r="AG42" s="17"/>
      <c r="AH42" s="17"/>
      <c r="AI42" s="17"/>
      <c r="AJ42" s="17"/>
      <c r="AK42" s="17"/>
      <c r="AL42" s="17"/>
      <c r="AM42" s="17"/>
      <c r="AN42" s="17"/>
      <c r="AO42" s="18"/>
      <c r="AP42" s="16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8"/>
      <c r="BG42" s="29">
        <v>22016</v>
      </c>
      <c r="BH42" s="30"/>
      <c r="BI42" s="30"/>
      <c r="BJ42" s="30"/>
      <c r="BK42" s="30"/>
      <c r="BL42" s="30"/>
      <c r="BM42" s="30"/>
      <c r="BN42" s="30"/>
      <c r="BO42" s="30"/>
      <c r="BP42" s="31"/>
      <c r="BQ42" s="29">
        <v>42016</v>
      </c>
      <c r="BR42" s="30"/>
      <c r="BS42" s="30"/>
      <c r="BT42" s="30"/>
      <c r="BU42" s="30"/>
      <c r="BV42" s="30"/>
      <c r="BW42" s="30"/>
      <c r="BX42" s="30"/>
      <c r="BY42" s="30"/>
      <c r="BZ42" s="31"/>
      <c r="CA42" s="35">
        <f>CO42</f>
        <v>1.2235598846604945</v>
      </c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7"/>
      <c r="CO42" s="35">
        <f t="shared" si="2"/>
        <v>1.2235598846604945</v>
      </c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7"/>
      <c r="DC42" s="35">
        <f t="shared" si="3"/>
        <v>1.2235598846604945</v>
      </c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7"/>
      <c r="DQ42" s="16" t="s">
        <v>43</v>
      </c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8"/>
      <c r="EH42" s="16" t="s">
        <v>43</v>
      </c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8"/>
      <c r="EY42" s="16" t="s">
        <v>43</v>
      </c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8"/>
      <c r="FP42" s="16" t="s">
        <v>43</v>
      </c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8"/>
      <c r="GG42" s="35">
        <f>10.087*0.121300672614305</f>
        <v>1.2235598846604945</v>
      </c>
      <c r="GH42" s="36"/>
      <c r="GI42" s="36"/>
      <c r="GJ42" s="36"/>
      <c r="GK42" s="36"/>
      <c r="GL42" s="36"/>
      <c r="GM42" s="36"/>
      <c r="GN42" s="36"/>
      <c r="GO42" s="36"/>
      <c r="GP42" s="37"/>
      <c r="GQ42" s="35">
        <v>0</v>
      </c>
      <c r="GR42" s="36"/>
      <c r="GS42" s="36"/>
      <c r="GT42" s="36"/>
      <c r="GU42" s="36"/>
      <c r="GV42" s="36"/>
      <c r="GW42" s="36"/>
      <c r="GX42" s="36"/>
      <c r="GY42" s="36"/>
      <c r="GZ42" s="37"/>
      <c r="HA42" s="35">
        <v>0</v>
      </c>
      <c r="HB42" s="36"/>
      <c r="HC42" s="36"/>
      <c r="HD42" s="36"/>
      <c r="HE42" s="36"/>
      <c r="HF42" s="36"/>
      <c r="HG42" s="36"/>
      <c r="HH42" s="36"/>
      <c r="HI42" s="36"/>
      <c r="HJ42" s="37"/>
      <c r="HK42" s="35">
        <v>0</v>
      </c>
      <c r="HL42" s="36"/>
      <c r="HM42" s="36"/>
      <c r="HN42" s="36"/>
      <c r="HO42" s="36"/>
      <c r="HP42" s="36"/>
      <c r="HQ42" s="36"/>
      <c r="HR42" s="36"/>
      <c r="HS42" s="36"/>
      <c r="HT42" s="37"/>
      <c r="HU42" s="35">
        <v>0</v>
      </c>
      <c r="HV42" s="36"/>
      <c r="HW42" s="36"/>
      <c r="HX42" s="36"/>
      <c r="HY42" s="36"/>
      <c r="HZ42" s="36"/>
      <c r="IA42" s="36"/>
      <c r="IB42" s="36"/>
      <c r="IC42" s="36"/>
      <c r="ID42" s="37"/>
      <c r="IE42" s="35">
        <f t="shared" si="0"/>
        <v>1.2235598846604945</v>
      </c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42"/>
    </row>
    <row r="43" spans="1:250" s="7" customFormat="1" ht="70.5" customHeight="1">
      <c r="A43" s="26" t="s">
        <v>156</v>
      </c>
      <c r="B43" s="27"/>
      <c r="C43" s="27"/>
      <c r="D43" s="27"/>
      <c r="E43" s="28"/>
      <c r="F43" s="23" t="s">
        <v>76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16" t="s">
        <v>35</v>
      </c>
      <c r="AG43" s="17"/>
      <c r="AH43" s="17"/>
      <c r="AI43" s="17"/>
      <c r="AJ43" s="17"/>
      <c r="AK43" s="17"/>
      <c r="AL43" s="17"/>
      <c r="AM43" s="17"/>
      <c r="AN43" s="17"/>
      <c r="AO43" s="18"/>
      <c r="AP43" s="16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8"/>
      <c r="BG43" s="29">
        <v>22011</v>
      </c>
      <c r="BH43" s="30"/>
      <c r="BI43" s="30"/>
      <c r="BJ43" s="30"/>
      <c r="BK43" s="30"/>
      <c r="BL43" s="30"/>
      <c r="BM43" s="30"/>
      <c r="BN43" s="30"/>
      <c r="BO43" s="30"/>
      <c r="BP43" s="31"/>
      <c r="BQ43" s="29">
        <v>42016</v>
      </c>
      <c r="BR43" s="30"/>
      <c r="BS43" s="30"/>
      <c r="BT43" s="30"/>
      <c r="BU43" s="30"/>
      <c r="BV43" s="30"/>
      <c r="BW43" s="30"/>
      <c r="BX43" s="30"/>
      <c r="BY43" s="30"/>
      <c r="BZ43" s="31"/>
      <c r="CA43" s="35">
        <f>CO43</f>
        <v>0.9237046219579326</v>
      </c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7"/>
      <c r="CO43" s="35">
        <f t="shared" si="2"/>
        <v>0.9237046219579326</v>
      </c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7"/>
      <c r="DC43" s="35">
        <f t="shared" si="3"/>
        <v>0.9237046219579326</v>
      </c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7"/>
      <c r="DQ43" s="16" t="s">
        <v>43</v>
      </c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6" t="s">
        <v>43</v>
      </c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8"/>
      <c r="EY43" s="16" t="s">
        <v>43</v>
      </c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8"/>
      <c r="FP43" s="16" t="s">
        <v>43</v>
      </c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8"/>
      <c r="GG43" s="35">
        <f>7.615*0.121300672614305</f>
        <v>0.9237046219579326</v>
      </c>
      <c r="GH43" s="36"/>
      <c r="GI43" s="36"/>
      <c r="GJ43" s="36"/>
      <c r="GK43" s="36"/>
      <c r="GL43" s="36"/>
      <c r="GM43" s="36"/>
      <c r="GN43" s="36"/>
      <c r="GO43" s="36"/>
      <c r="GP43" s="37"/>
      <c r="GQ43" s="35">
        <v>0</v>
      </c>
      <c r="GR43" s="36"/>
      <c r="GS43" s="36"/>
      <c r="GT43" s="36"/>
      <c r="GU43" s="36"/>
      <c r="GV43" s="36"/>
      <c r="GW43" s="36"/>
      <c r="GX43" s="36"/>
      <c r="GY43" s="36"/>
      <c r="GZ43" s="37"/>
      <c r="HA43" s="35">
        <v>0</v>
      </c>
      <c r="HB43" s="36"/>
      <c r="HC43" s="36"/>
      <c r="HD43" s="36"/>
      <c r="HE43" s="36"/>
      <c r="HF43" s="36"/>
      <c r="HG43" s="36"/>
      <c r="HH43" s="36"/>
      <c r="HI43" s="36"/>
      <c r="HJ43" s="37"/>
      <c r="HK43" s="35">
        <v>0</v>
      </c>
      <c r="HL43" s="36"/>
      <c r="HM43" s="36"/>
      <c r="HN43" s="36"/>
      <c r="HO43" s="36"/>
      <c r="HP43" s="36"/>
      <c r="HQ43" s="36"/>
      <c r="HR43" s="36"/>
      <c r="HS43" s="36"/>
      <c r="HT43" s="37"/>
      <c r="HU43" s="35">
        <v>0</v>
      </c>
      <c r="HV43" s="36"/>
      <c r="HW43" s="36"/>
      <c r="HX43" s="36"/>
      <c r="HY43" s="36"/>
      <c r="HZ43" s="36"/>
      <c r="IA43" s="36"/>
      <c r="IB43" s="36"/>
      <c r="IC43" s="36"/>
      <c r="ID43" s="37"/>
      <c r="IE43" s="35">
        <f t="shared" si="0"/>
        <v>0.9237046219579326</v>
      </c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42"/>
    </row>
    <row r="44" spans="1:250" s="7" customFormat="1" ht="45" customHeight="1">
      <c r="A44" s="26" t="s">
        <v>157</v>
      </c>
      <c r="B44" s="27"/>
      <c r="C44" s="27"/>
      <c r="D44" s="27"/>
      <c r="E44" s="28"/>
      <c r="F44" s="23" t="s">
        <v>77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5"/>
      <c r="AF44" s="16" t="s">
        <v>35</v>
      </c>
      <c r="AG44" s="17"/>
      <c r="AH44" s="17"/>
      <c r="AI44" s="17"/>
      <c r="AJ44" s="17"/>
      <c r="AK44" s="17"/>
      <c r="AL44" s="17"/>
      <c r="AM44" s="17"/>
      <c r="AN44" s="17"/>
      <c r="AO44" s="18"/>
      <c r="AP44" s="16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8"/>
      <c r="BG44" s="29">
        <v>42015</v>
      </c>
      <c r="BH44" s="30"/>
      <c r="BI44" s="30"/>
      <c r="BJ44" s="30"/>
      <c r="BK44" s="30"/>
      <c r="BL44" s="30"/>
      <c r="BM44" s="30"/>
      <c r="BN44" s="30"/>
      <c r="BO44" s="30"/>
      <c r="BP44" s="31"/>
      <c r="BQ44" s="29">
        <v>42020</v>
      </c>
      <c r="BR44" s="30"/>
      <c r="BS44" s="30"/>
      <c r="BT44" s="30"/>
      <c r="BU44" s="30"/>
      <c r="BV44" s="30"/>
      <c r="BW44" s="30"/>
      <c r="BX44" s="30"/>
      <c r="BY44" s="30"/>
      <c r="BZ44" s="31"/>
      <c r="CA44" s="35">
        <f>CO44</f>
        <v>22.533357775224406</v>
      </c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7"/>
      <c r="CO44" s="35">
        <f t="shared" si="2"/>
        <v>22.533357775224406</v>
      </c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7"/>
      <c r="DC44" s="35">
        <f t="shared" si="3"/>
        <v>1.4685872433413905</v>
      </c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7"/>
      <c r="DQ44" s="16" t="s">
        <v>43</v>
      </c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6" t="s">
        <v>43</v>
      </c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8"/>
      <c r="EY44" s="16" t="s">
        <v>43</v>
      </c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8"/>
      <c r="FP44" s="16" t="s">
        <v>43</v>
      </c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8"/>
      <c r="GG44" s="35">
        <f>12.107*0.121300672614305</f>
        <v>1.4685872433413905</v>
      </c>
      <c r="GH44" s="36"/>
      <c r="GI44" s="36"/>
      <c r="GJ44" s="36"/>
      <c r="GK44" s="36"/>
      <c r="GL44" s="36"/>
      <c r="GM44" s="36"/>
      <c r="GN44" s="36"/>
      <c r="GO44" s="36"/>
      <c r="GP44" s="37"/>
      <c r="GQ44" s="35">
        <f>2.777*0.444252801108755</f>
        <v>1.2336900286790127</v>
      </c>
      <c r="GR44" s="36"/>
      <c r="GS44" s="36"/>
      <c r="GT44" s="36"/>
      <c r="GU44" s="36"/>
      <c r="GV44" s="36"/>
      <c r="GW44" s="36"/>
      <c r="GX44" s="36"/>
      <c r="GY44" s="36"/>
      <c r="GZ44" s="37"/>
      <c r="HA44" s="35">
        <v>5.508</v>
      </c>
      <c r="HB44" s="36"/>
      <c r="HC44" s="36"/>
      <c r="HD44" s="36"/>
      <c r="HE44" s="36"/>
      <c r="HF44" s="36"/>
      <c r="HG44" s="36"/>
      <c r="HH44" s="36"/>
      <c r="HI44" s="36"/>
      <c r="HJ44" s="37"/>
      <c r="HK44" s="35">
        <f>26.836*0.440530649247429</f>
        <v>11.822080503204004</v>
      </c>
      <c r="HL44" s="36"/>
      <c r="HM44" s="36"/>
      <c r="HN44" s="36"/>
      <c r="HO44" s="36"/>
      <c r="HP44" s="36"/>
      <c r="HQ44" s="36"/>
      <c r="HR44" s="36"/>
      <c r="HS44" s="36"/>
      <c r="HT44" s="37"/>
      <c r="HU44" s="35">
        <v>2.501</v>
      </c>
      <c r="HV44" s="36"/>
      <c r="HW44" s="36"/>
      <c r="HX44" s="36"/>
      <c r="HY44" s="36"/>
      <c r="HZ44" s="36"/>
      <c r="IA44" s="36"/>
      <c r="IB44" s="36"/>
      <c r="IC44" s="36"/>
      <c r="ID44" s="37"/>
      <c r="IE44" s="35">
        <f t="shared" si="0"/>
        <v>22.533357775224406</v>
      </c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42"/>
    </row>
    <row r="45" spans="1:250" s="6" customFormat="1" ht="21" customHeight="1">
      <c r="A45" s="13" t="s">
        <v>17</v>
      </c>
      <c r="B45" s="14"/>
      <c r="C45" s="14"/>
      <c r="D45" s="14"/>
      <c r="E45" s="15"/>
      <c r="F45" s="10" t="s">
        <v>78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2"/>
      <c r="AF45" s="16"/>
      <c r="AG45" s="17"/>
      <c r="AH45" s="17"/>
      <c r="AI45" s="17"/>
      <c r="AJ45" s="17"/>
      <c r="AK45" s="17"/>
      <c r="AL45" s="17"/>
      <c r="AM45" s="17"/>
      <c r="AN45" s="17"/>
      <c r="AO45" s="18"/>
      <c r="AP45" s="16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8"/>
      <c r="BG45" s="29"/>
      <c r="BH45" s="30"/>
      <c r="BI45" s="30"/>
      <c r="BJ45" s="30"/>
      <c r="BK45" s="30"/>
      <c r="BL45" s="30"/>
      <c r="BM45" s="30"/>
      <c r="BN45" s="30"/>
      <c r="BO45" s="30"/>
      <c r="BP45" s="31"/>
      <c r="BQ45" s="29"/>
      <c r="BR45" s="30"/>
      <c r="BS45" s="30"/>
      <c r="BT45" s="30"/>
      <c r="BU45" s="30"/>
      <c r="BV45" s="30"/>
      <c r="BW45" s="30"/>
      <c r="BX45" s="30"/>
      <c r="BY45" s="30"/>
      <c r="BZ45" s="31"/>
      <c r="CA45" s="32">
        <f>CA46+CA70+CA75</f>
        <v>88.1322172642191</v>
      </c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4"/>
      <c r="CO45" s="32">
        <f>CO46+CO70+CO75</f>
        <v>44.37300883615413</v>
      </c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4"/>
      <c r="DC45" s="32">
        <f>DC46+DC70+DC75</f>
        <v>7.129204431560547</v>
      </c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4"/>
      <c r="DQ45" s="16" t="s">
        <v>43</v>
      </c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6" t="s">
        <v>43</v>
      </c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8"/>
      <c r="EY45" s="16" t="s">
        <v>43</v>
      </c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8"/>
      <c r="FP45" s="16" t="s">
        <v>43</v>
      </c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8"/>
      <c r="GG45" s="32">
        <f>GG46+GG70+GG75</f>
        <v>7.129204431560547</v>
      </c>
      <c r="GH45" s="33"/>
      <c r="GI45" s="33"/>
      <c r="GJ45" s="33"/>
      <c r="GK45" s="33"/>
      <c r="GL45" s="33"/>
      <c r="GM45" s="33"/>
      <c r="GN45" s="33"/>
      <c r="GO45" s="33"/>
      <c r="GP45" s="34"/>
      <c r="GQ45" s="32">
        <f>GQ46+GQ70+GQ75</f>
        <v>15.911802577312276</v>
      </c>
      <c r="GR45" s="33"/>
      <c r="GS45" s="33"/>
      <c r="GT45" s="33"/>
      <c r="GU45" s="33"/>
      <c r="GV45" s="33"/>
      <c r="GW45" s="33"/>
      <c r="GX45" s="33"/>
      <c r="GY45" s="33"/>
      <c r="GZ45" s="34"/>
      <c r="HA45" s="32">
        <f>HA46+HA70+HA75</f>
        <v>13.539999999999997</v>
      </c>
      <c r="HB45" s="33"/>
      <c r="HC45" s="33"/>
      <c r="HD45" s="33"/>
      <c r="HE45" s="33"/>
      <c r="HF45" s="33"/>
      <c r="HG45" s="33"/>
      <c r="HH45" s="33"/>
      <c r="HI45" s="33"/>
      <c r="HJ45" s="34"/>
      <c r="HK45" s="32">
        <f>HK46+HK70+HK75</f>
        <v>3.289001827281305</v>
      </c>
      <c r="HL45" s="33"/>
      <c r="HM45" s="33"/>
      <c r="HN45" s="33"/>
      <c r="HO45" s="33"/>
      <c r="HP45" s="33"/>
      <c r="HQ45" s="33"/>
      <c r="HR45" s="33"/>
      <c r="HS45" s="33"/>
      <c r="HT45" s="34"/>
      <c r="HU45" s="32">
        <f>HU46+HU70+HU75</f>
        <v>4.503</v>
      </c>
      <c r="HV45" s="33"/>
      <c r="HW45" s="33"/>
      <c r="HX45" s="33"/>
      <c r="HY45" s="33"/>
      <c r="HZ45" s="33"/>
      <c r="IA45" s="33"/>
      <c r="IB45" s="33"/>
      <c r="IC45" s="33"/>
      <c r="ID45" s="34"/>
      <c r="IE45" s="32">
        <f t="shared" si="0"/>
        <v>44.37300883615413</v>
      </c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41"/>
    </row>
    <row r="46" spans="1:250" s="6" customFormat="1" ht="21" customHeight="1">
      <c r="A46" s="13" t="s">
        <v>159</v>
      </c>
      <c r="B46" s="14"/>
      <c r="C46" s="14"/>
      <c r="D46" s="14"/>
      <c r="E46" s="15"/>
      <c r="F46" s="10" t="s">
        <v>158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2"/>
      <c r="AF46" s="16"/>
      <c r="AG46" s="17"/>
      <c r="AH46" s="17"/>
      <c r="AI46" s="17"/>
      <c r="AJ46" s="17"/>
      <c r="AK46" s="17"/>
      <c r="AL46" s="17"/>
      <c r="AM46" s="17"/>
      <c r="AN46" s="17"/>
      <c r="AO46" s="18"/>
      <c r="AP46" s="16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8"/>
      <c r="BG46" s="29"/>
      <c r="BH46" s="30"/>
      <c r="BI46" s="30"/>
      <c r="BJ46" s="30"/>
      <c r="BK46" s="30"/>
      <c r="BL46" s="30"/>
      <c r="BM46" s="30"/>
      <c r="BN46" s="30"/>
      <c r="BO46" s="30"/>
      <c r="BP46" s="31"/>
      <c r="BQ46" s="29"/>
      <c r="BR46" s="30"/>
      <c r="BS46" s="30"/>
      <c r="BT46" s="30"/>
      <c r="BU46" s="30"/>
      <c r="BV46" s="30"/>
      <c r="BW46" s="30"/>
      <c r="BX46" s="30"/>
      <c r="BY46" s="30"/>
      <c r="BZ46" s="31"/>
      <c r="CA46" s="32">
        <v>65.0988536</v>
      </c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4"/>
      <c r="CO46" s="32">
        <f>IE46</f>
        <v>21.339645171935043</v>
      </c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4"/>
      <c r="DC46" s="32">
        <f>GG46</f>
        <v>3.8331012546120373</v>
      </c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4"/>
      <c r="DQ46" s="44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9"/>
      <c r="EH46" s="44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9"/>
      <c r="EY46" s="44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9"/>
      <c r="FP46" s="44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9"/>
      <c r="GG46" s="32">
        <f>SUM(GG47:GP69)</f>
        <v>3.8331012546120373</v>
      </c>
      <c r="GH46" s="33"/>
      <c r="GI46" s="33"/>
      <c r="GJ46" s="33"/>
      <c r="GK46" s="33"/>
      <c r="GL46" s="33"/>
      <c r="GM46" s="33"/>
      <c r="GN46" s="33"/>
      <c r="GO46" s="33"/>
      <c r="GP46" s="34"/>
      <c r="GQ46" s="32">
        <f>SUM(GQ47:GZ69)</f>
        <v>12.297806040292555</v>
      </c>
      <c r="GR46" s="33"/>
      <c r="GS46" s="33"/>
      <c r="GT46" s="33"/>
      <c r="GU46" s="33"/>
      <c r="GV46" s="33"/>
      <c r="GW46" s="33"/>
      <c r="GX46" s="33"/>
      <c r="GY46" s="33"/>
      <c r="GZ46" s="34"/>
      <c r="HA46" s="32">
        <f>SUM(HA47:HJ69)</f>
        <v>4.728999999999999</v>
      </c>
      <c r="HB46" s="33"/>
      <c r="HC46" s="33"/>
      <c r="HD46" s="33"/>
      <c r="HE46" s="33"/>
      <c r="HF46" s="33"/>
      <c r="HG46" s="33"/>
      <c r="HH46" s="33"/>
      <c r="HI46" s="33"/>
      <c r="HJ46" s="34"/>
      <c r="HK46" s="32">
        <f>SUM(HK47:HT69)</f>
        <v>0.4797378770304502</v>
      </c>
      <c r="HL46" s="33"/>
      <c r="HM46" s="33"/>
      <c r="HN46" s="33"/>
      <c r="HO46" s="33"/>
      <c r="HP46" s="33"/>
      <c r="HQ46" s="33"/>
      <c r="HR46" s="33"/>
      <c r="HS46" s="33"/>
      <c r="HT46" s="34"/>
      <c r="HU46" s="32">
        <f>SUM(HU47:ID69)</f>
        <v>0</v>
      </c>
      <c r="HV46" s="33"/>
      <c r="HW46" s="33"/>
      <c r="HX46" s="33"/>
      <c r="HY46" s="33"/>
      <c r="HZ46" s="33"/>
      <c r="IA46" s="33"/>
      <c r="IB46" s="33"/>
      <c r="IC46" s="33"/>
      <c r="ID46" s="34"/>
      <c r="IE46" s="32">
        <f t="shared" si="0"/>
        <v>21.339645171935043</v>
      </c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41"/>
    </row>
    <row r="47" spans="1:250" s="6" customFormat="1" ht="33" customHeight="1">
      <c r="A47" s="26" t="s">
        <v>160</v>
      </c>
      <c r="B47" s="27"/>
      <c r="C47" s="27"/>
      <c r="D47" s="27"/>
      <c r="E47" s="28"/>
      <c r="F47" s="23" t="s">
        <v>79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  <c r="AF47" s="16"/>
      <c r="AG47" s="17"/>
      <c r="AH47" s="17"/>
      <c r="AI47" s="17"/>
      <c r="AJ47" s="17"/>
      <c r="AK47" s="17"/>
      <c r="AL47" s="17"/>
      <c r="AM47" s="17"/>
      <c r="AN47" s="17"/>
      <c r="AO47" s="18"/>
      <c r="AP47" s="16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8"/>
      <c r="BG47" s="29">
        <v>42018</v>
      </c>
      <c r="BH47" s="30"/>
      <c r="BI47" s="30"/>
      <c r="BJ47" s="30"/>
      <c r="BK47" s="30"/>
      <c r="BL47" s="30"/>
      <c r="BM47" s="30"/>
      <c r="BN47" s="30"/>
      <c r="BO47" s="30"/>
      <c r="BP47" s="31"/>
      <c r="BQ47" s="29">
        <v>42018</v>
      </c>
      <c r="BR47" s="30"/>
      <c r="BS47" s="30"/>
      <c r="BT47" s="30"/>
      <c r="BU47" s="30"/>
      <c r="BV47" s="30"/>
      <c r="BW47" s="30"/>
      <c r="BX47" s="30"/>
      <c r="BY47" s="30"/>
      <c r="BZ47" s="31"/>
      <c r="CA47" s="35">
        <v>0.0940224</v>
      </c>
      <c r="CB47" s="36">
        <v>94.0224</v>
      </c>
      <c r="CC47" s="36">
        <v>94.0224</v>
      </c>
      <c r="CD47" s="36">
        <v>94.0224</v>
      </c>
      <c r="CE47" s="36">
        <v>94.0224</v>
      </c>
      <c r="CF47" s="36">
        <v>94.0224</v>
      </c>
      <c r="CG47" s="36">
        <v>94.0224</v>
      </c>
      <c r="CH47" s="36">
        <v>94.0224</v>
      </c>
      <c r="CI47" s="36">
        <v>94.0224</v>
      </c>
      <c r="CJ47" s="36">
        <v>94.0224</v>
      </c>
      <c r="CK47" s="36">
        <v>94.0224</v>
      </c>
      <c r="CL47" s="36">
        <v>94.0224</v>
      </c>
      <c r="CM47" s="36">
        <v>94.0224</v>
      </c>
      <c r="CN47" s="37">
        <v>94.0224</v>
      </c>
      <c r="CO47" s="35">
        <f>IE47</f>
        <v>0.094</v>
      </c>
      <c r="CP47" s="36">
        <f aca="true" t="shared" si="4" ref="CP47:DB47">J47-AJ47-AM47</f>
        <v>0</v>
      </c>
      <c r="CQ47" s="36">
        <f t="shared" si="4"/>
        <v>0</v>
      </c>
      <c r="CR47" s="36">
        <f t="shared" si="4"/>
        <v>0</v>
      </c>
      <c r="CS47" s="36">
        <f t="shared" si="4"/>
        <v>0</v>
      </c>
      <c r="CT47" s="36">
        <f t="shared" si="4"/>
        <v>0</v>
      </c>
      <c r="CU47" s="36">
        <f t="shared" si="4"/>
        <v>0</v>
      </c>
      <c r="CV47" s="36">
        <f t="shared" si="4"/>
        <v>0</v>
      </c>
      <c r="CW47" s="36">
        <f t="shared" si="4"/>
        <v>0</v>
      </c>
      <c r="CX47" s="36">
        <f t="shared" si="4"/>
        <v>0</v>
      </c>
      <c r="CY47" s="36">
        <f t="shared" si="4"/>
        <v>0</v>
      </c>
      <c r="CZ47" s="36">
        <f t="shared" si="4"/>
        <v>0</v>
      </c>
      <c r="DA47" s="36">
        <f t="shared" si="4"/>
        <v>0</v>
      </c>
      <c r="DB47" s="37">
        <f t="shared" si="4"/>
        <v>0</v>
      </c>
      <c r="DC47" s="35">
        <f>GG47</f>
        <v>0</v>
      </c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7"/>
      <c r="DQ47" s="16" t="s">
        <v>43</v>
      </c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8"/>
      <c r="EH47" s="16" t="s">
        <v>43</v>
      </c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8"/>
      <c r="EY47" s="16" t="s">
        <v>43</v>
      </c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8"/>
      <c r="FP47" s="16" t="s">
        <v>43</v>
      </c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8"/>
      <c r="GG47" s="35">
        <v>0</v>
      </c>
      <c r="GH47" s="36"/>
      <c r="GI47" s="36"/>
      <c r="GJ47" s="36"/>
      <c r="GK47" s="36"/>
      <c r="GL47" s="36"/>
      <c r="GM47" s="36"/>
      <c r="GN47" s="36"/>
      <c r="GO47" s="36"/>
      <c r="GP47" s="37"/>
      <c r="GQ47" s="35">
        <v>0</v>
      </c>
      <c r="GR47" s="36"/>
      <c r="GS47" s="36"/>
      <c r="GT47" s="36"/>
      <c r="GU47" s="36"/>
      <c r="GV47" s="36"/>
      <c r="GW47" s="36"/>
      <c r="GX47" s="36"/>
      <c r="GY47" s="36"/>
      <c r="GZ47" s="37"/>
      <c r="HA47" s="35">
        <v>0.094</v>
      </c>
      <c r="HB47" s="36"/>
      <c r="HC47" s="36"/>
      <c r="HD47" s="36"/>
      <c r="HE47" s="36"/>
      <c r="HF47" s="36"/>
      <c r="HG47" s="36"/>
      <c r="HH47" s="36"/>
      <c r="HI47" s="36"/>
      <c r="HJ47" s="37"/>
      <c r="HK47" s="35">
        <v>0</v>
      </c>
      <c r="HL47" s="36"/>
      <c r="HM47" s="36"/>
      <c r="HN47" s="36"/>
      <c r="HO47" s="36"/>
      <c r="HP47" s="36"/>
      <c r="HQ47" s="36"/>
      <c r="HR47" s="36"/>
      <c r="HS47" s="36"/>
      <c r="HT47" s="37"/>
      <c r="HU47" s="35">
        <v>0</v>
      </c>
      <c r="HV47" s="36"/>
      <c r="HW47" s="36"/>
      <c r="HX47" s="36"/>
      <c r="HY47" s="36"/>
      <c r="HZ47" s="36"/>
      <c r="IA47" s="36"/>
      <c r="IB47" s="36"/>
      <c r="IC47" s="36"/>
      <c r="ID47" s="37"/>
      <c r="IE47" s="35">
        <f t="shared" si="0"/>
        <v>0.094</v>
      </c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42"/>
    </row>
    <row r="48" spans="1:250" s="7" customFormat="1" ht="52.5" customHeight="1">
      <c r="A48" s="26" t="s">
        <v>161</v>
      </c>
      <c r="B48" s="27"/>
      <c r="C48" s="27"/>
      <c r="D48" s="27"/>
      <c r="E48" s="28"/>
      <c r="F48" s="23" t="s">
        <v>80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16"/>
      <c r="AG48" s="17"/>
      <c r="AH48" s="17"/>
      <c r="AI48" s="17"/>
      <c r="AJ48" s="17"/>
      <c r="AK48" s="17"/>
      <c r="AL48" s="17"/>
      <c r="AM48" s="17"/>
      <c r="AN48" s="17"/>
      <c r="AO48" s="18"/>
      <c r="AP48" s="16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8"/>
      <c r="BG48" s="29">
        <v>42018</v>
      </c>
      <c r="BH48" s="30"/>
      <c r="BI48" s="30"/>
      <c r="BJ48" s="30"/>
      <c r="BK48" s="30"/>
      <c r="BL48" s="30"/>
      <c r="BM48" s="30"/>
      <c r="BN48" s="30"/>
      <c r="BO48" s="30"/>
      <c r="BP48" s="31"/>
      <c r="BQ48" s="29">
        <v>42018</v>
      </c>
      <c r="BR48" s="30"/>
      <c r="BS48" s="30"/>
      <c r="BT48" s="30"/>
      <c r="BU48" s="30"/>
      <c r="BV48" s="30"/>
      <c r="BW48" s="30"/>
      <c r="BX48" s="30"/>
      <c r="BY48" s="30"/>
      <c r="BZ48" s="31"/>
      <c r="CA48" s="35">
        <v>0.0686642</v>
      </c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7"/>
      <c r="CO48" s="35">
        <f aca="true" t="shared" si="5" ref="CO48:CO74">IE48</f>
        <v>0.069</v>
      </c>
      <c r="CP48" s="36">
        <f aca="true" t="shared" si="6" ref="CP48:CP74">J48-AJ48-AM48</f>
        <v>0</v>
      </c>
      <c r="CQ48" s="36">
        <f aca="true" t="shared" si="7" ref="CQ48:CQ74">K48-AK48-AN48</f>
        <v>0</v>
      </c>
      <c r="CR48" s="36">
        <f aca="true" t="shared" si="8" ref="CR48:CR74">L48-AL48-AO48</f>
        <v>0</v>
      </c>
      <c r="CS48" s="36">
        <f aca="true" t="shared" si="9" ref="CS48:CS74">M48-AM48-AP48</f>
        <v>0</v>
      </c>
      <c r="CT48" s="36">
        <f aca="true" t="shared" si="10" ref="CT48:CT74">N48-AN48-AQ48</f>
        <v>0</v>
      </c>
      <c r="CU48" s="36">
        <f aca="true" t="shared" si="11" ref="CU48:CU74">O48-AO48-AR48</f>
        <v>0</v>
      </c>
      <c r="CV48" s="36">
        <f aca="true" t="shared" si="12" ref="CV48:CV74">P48-AP48-AS48</f>
        <v>0</v>
      </c>
      <c r="CW48" s="36">
        <f aca="true" t="shared" si="13" ref="CW48:CW74">Q48-AQ48-AT48</f>
        <v>0</v>
      </c>
      <c r="CX48" s="36">
        <f aca="true" t="shared" si="14" ref="CX48:CX74">R48-AR48-AU48</f>
        <v>0</v>
      </c>
      <c r="CY48" s="36">
        <f aca="true" t="shared" si="15" ref="CY48:CY74">S48-AS48-AV48</f>
        <v>0</v>
      </c>
      <c r="CZ48" s="36">
        <f aca="true" t="shared" si="16" ref="CZ48:CZ74">T48-AT48-AW48</f>
        <v>0</v>
      </c>
      <c r="DA48" s="36">
        <f aca="true" t="shared" si="17" ref="DA48:DA74">U48-AU48-AX48</f>
        <v>0</v>
      </c>
      <c r="DB48" s="37">
        <f aca="true" t="shared" si="18" ref="DB48:DB74">V48-AV48-AY48</f>
        <v>0</v>
      </c>
      <c r="DC48" s="35">
        <f aca="true" t="shared" si="19" ref="DC48:DC74">GG48</f>
        <v>0</v>
      </c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7"/>
      <c r="DQ48" s="16" t="s">
        <v>43</v>
      </c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8"/>
      <c r="EH48" s="16" t="s">
        <v>43</v>
      </c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8"/>
      <c r="EY48" s="16" t="s">
        <v>43</v>
      </c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8"/>
      <c r="FP48" s="16" t="s">
        <v>43</v>
      </c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8"/>
      <c r="GG48" s="35">
        <v>0</v>
      </c>
      <c r="GH48" s="36"/>
      <c r="GI48" s="36"/>
      <c r="GJ48" s="36"/>
      <c r="GK48" s="36"/>
      <c r="GL48" s="36"/>
      <c r="GM48" s="36"/>
      <c r="GN48" s="36"/>
      <c r="GO48" s="36"/>
      <c r="GP48" s="37"/>
      <c r="GQ48" s="35">
        <v>0</v>
      </c>
      <c r="GR48" s="36"/>
      <c r="GS48" s="36"/>
      <c r="GT48" s="36"/>
      <c r="GU48" s="36"/>
      <c r="GV48" s="36"/>
      <c r="GW48" s="36"/>
      <c r="GX48" s="36"/>
      <c r="GY48" s="36"/>
      <c r="GZ48" s="37"/>
      <c r="HA48" s="35">
        <v>0.069</v>
      </c>
      <c r="HB48" s="36"/>
      <c r="HC48" s="36"/>
      <c r="HD48" s="36"/>
      <c r="HE48" s="36"/>
      <c r="HF48" s="36"/>
      <c r="HG48" s="36"/>
      <c r="HH48" s="36"/>
      <c r="HI48" s="36"/>
      <c r="HJ48" s="37"/>
      <c r="HK48" s="35">
        <v>0</v>
      </c>
      <c r="HL48" s="36"/>
      <c r="HM48" s="36"/>
      <c r="HN48" s="36"/>
      <c r="HO48" s="36"/>
      <c r="HP48" s="36"/>
      <c r="HQ48" s="36"/>
      <c r="HR48" s="36"/>
      <c r="HS48" s="36"/>
      <c r="HT48" s="37"/>
      <c r="HU48" s="35">
        <v>0</v>
      </c>
      <c r="HV48" s="36"/>
      <c r="HW48" s="36"/>
      <c r="HX48" s="36"/>
      <c r="HY48" s="36"/>
      <c r="HZ48" s="36"/>
      <c r="IA48" s="36"/>
      <c r="IB48" s="36"/>
      <c r="IC48" s="36"/>
      <c r="ID48" s="37"/>
      <c r="IE48" s="35">
        <f t="shared" si="0"/>
        <v>0.069</v>
      </c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42"/>
    </row>
    <row r="49" spans="1:250" s="7" customFormat="1" ht="33" customHeight="1">
      <c r="A49" s="26" t="s">
        <v>162</v>
      </c>
      <c r="B49" s="27"/>
      <c r="C49" s="27"/>
      <c r="D49" s="27"/>
      <c r="E49" s="28"/>
      <c r="F49" s="23" t="s">
        <v>81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5"/>
      <c r="AF49" s="16"/>
      <c r="AG49" s="17"/>
      <c r="AH49" s="17"/>
      <c r="AI49" s="17"/>
      <c r="AJ49" s="17"/>
      <c r="AK49" s="17"/>
      <c r="AL49" s="17"/>
      <c r="AM49" s="17"/>
      <c r="AN49" s="17"/>
      <c r="AO49" s="18"/>
      <c r="AP49" s="16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8"/>
      <c r="BG49" s="29">
        <v>42016</v>
      </c>
      <c r="BH49" s="30"/>
      <c r="BI49" s="30"/>
      <c r="BJ49" s="30"/>
      <c r="BK49" s="30"/>
      <c r="BL49" s="30"/>
      <c r="BM49" s="30"/>
      <c r="BN49" s="30"/>
      <c r="BO49" s="30"/>
      <c r="BP49" s="31"/>
      <c r="BQ49" s="29">
        <v>42016</v>
      </c>
      <c r="BR49" s="30"/>
      <c r="BS49" s="30"/>
      <c r="BT49" s="30"/>
      <c r="BU49" s="30"/>
      <c r="BV49" s="30"/>
      <c r="BW49" s="30"/>
      <c r="BX49" s="30"/>
      <c r="BY49" s="30"/>
      <c r="BZ49" s="31"/>
      <c r="CA49" s="35">
        <f>CO49</f>
        <v>0.006671536993786775</v>
      </c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7"/>
      <c r="CO49" s="35">
        <f t="shared" si="5"/>
        <v>0.006671536993786775</v>
      </c>
      <c r="CP49" s="36">
        <f t="shared" si="6"/>
        <v>0</v>
      </c>
      <c r="CQ49" s="36">
        <f t="shared" si="7"/>
        <v>0</v>
      </c>
      <c r="CR49" s="36">
        <f t="shared" si="8"/>
        <v>0</v>
      </c>
      <c r="CS49" s="36">
        <f t="shared" si="9"/>
        <v>0</v>
      </c>
      <c r="CT49" s="36">
        <f t="shared" si="10"/>
        <v>0</v>
      </c>
      <c r="CU49" s="36">
        <f t="shared" si="11"/>
        <v>0</v>
      </c>
      <c r="CV49" s="36">
        <f t="shared" si="12"/>
        <v>0</v>
      </c>
      <c r="CW49" s="36">
        <f t="shared" si="13"/>
        <v>0</v>
      </c>
      <c r="CX49" s="36">
        <f t="shared" si="14"/>
        <v>0</v>
      </c>
      <c r="CY49" s="36">
        <f t="shared" si="15"/>
        <v>0</v>
      </c>
      <c r="CZ49" s="36">
        <f t="shared" si="16"/>
        <v>0</v>
      </c>
      <c r="DA49" s="36">
        <f t="shared" si="17"/>
        <v>0</v>
      </c>
      <c r="DB49" s="37">
        <f t="shared" si="18"/>
        <v>0</v>
      </c>
      <c r="DC49" s="35">
        <f t="shared" si="19"/>
        <v>0.006671536993786775</v>
      </c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7"/>
      <c r="DQ49" s="16" t="s">
        <v>43</v>
      </c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8"/>
      <c r="EH49" s="16" t="s">
        <v>43</v>
      </c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8"/>
      <c r="EY49" s="16" t="s">
        <v>43</v>
      </c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8"/>
      <c r="FP49" s="16" t="s">
        <v>43</v>
      </c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8"/>
      <c r="GG49" s="35">
        <f>0.055*0.121300672614305</f>
        <v>0.006671536993786775</v>
      </c>
      <c r="GH49" s="36"/>
      <c r="GI49" s="36"/>
      <c r="GJ49" s="36"/>
      <c r="GK49" s="36"/>
      <c r="GL49" s="36"/>
      <c r="GM49" s="36"/>
      <c r="GN49" s="36"/>
      <c r="GO49" s="36"/>
      <c r="GP49" s="37"/>
      <c r="GQ49" s="35">
        <v>0</v>
      </c>
      <c r="GR49" s="36"/>
      <c r="GS49" s="36"/>
      <c r="GT49" s="36"/>
      <c r="GU49" s="36"/>
      <c r="GV49" s="36"/>
      <c r="GW49" s="36"/>
      <c r="GX49" s="36"/>
      <c r="GY49" s="36"/>
      <c r="GZ49" s="37"/>
      <c r="HA49" s="35">
        <v>0</v>
      </c>
      <c r="HB49" s="36"/>
      <c r="HC49" s="36"/>
      <c r="HD49" s="36"/>
      <c r="HE49" s="36"/>
      <c r="HF49" s="36"/>
      <c r="HG49" s="36"/>
      <c r="HH49" s="36"/>
      <c r="HI49" s="36"/>
      <c r="HJ49" s="37"/>
      <c r="HK49" s="35">
        <v>0</v>
      </c>
      <c r="HL49" s="36"/>
      <c r="HM49" s="36"/>
      <c r="HN49" s="36"/>
      <c r="HO49" s="36"/>
      <c r="HP49" s="36"/>
      <c r="HQ49" s="36"/>
      <c r="HR49" s="36"/>
      <c r="HS49" s="36"/>
      <c r="HT49" s="37"/>
      <c r="HU49" s="35">
        <v>0</v>
      </c>
      <c r="HV49" s="36"/>
      <c r="HW49" s="36"/>
      <c r="HX49" s="36"/>
      <c r="HY49" s="36"/>
      <c r="HZ49" s="36"/>
      <c r="IA49" s="36"/>
      <c r="IB49" s="36"/>
      <c r="IC49" s="36"/>
      <c r="ID49" s="37"/>
      <c r="IE49" s="35">
        <f t="shared" si="0"/>
        <v>0.006671536993786775</v>
      </c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42"/>
    </row>
    <row r="50" spans="1:250" s="7" customFormat="1" ht="30.75" customHeight="1">
      <c r="A50" s="26" t="s">
        <v>163</v>
      </c>
      <c r="B50" s="27"/>
      <c r="C50" s="27"/>
      <c r="D50" s="27"/>
      <c r="E50" s="28"/>
      <c r="F50" s="23" t="s">
        <v>82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5"/>
      <c r="AF50" s="16"/>
      <c r="AG50" s="17"/>
      <c r="AH50" s="17"/>
      <c r="AI50" s="17"/>
      <c r="AJ50" s="17"/>
      <c r="AK50" s="17"/>
      <c r="AL50" s="17"/>
      <c r="AM50" s="17"/>
      <c r="AN50" s="17"/>
      <c r="AO50" s="18"/>
      <c r="AP50" s="16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8"/>
      <c r="BG50" s="29">
        <v>42016</v>
      </c>
      <c r="BH50" s="30"/>
      <c r="BI50" s="30"/>
      <c r="BJ50" s="30"/>
      <c r="BK50" s="30"/>
      <c r="BL50" s="30"/>
      <c r="BM50" s="30"/>
      <c r="BN50" s="30"/>
      <c r="BO50" s="30"/>
      <c r="BP50" s="31"/>
      <c r="BQ50" s="29">
        <v>42016</v>
      </c>
      <c r="BR50" s="30"/>
      <c r="BS50" s="30"/>
      <c r="BT50" s="30"/>
      <c r="BU50" s="30"/>
      <c r="BV50" s="30"/>
      <c r="BW50" s="30"/>
      <c r="BX50" s="30"/>
      <c r="BY50" s="30"/>
      <c r="BZ50" s="31"/>
      <c r="CA50" s="35">
        <f>CO50</f>
        <v>0.010067955826987315</v>
      </c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7"/>
      <c r="CO50" s="35">
        <f t="shared" si="5"/>
        <v>0.010067955826987315</v>
      </c>
      <c r="CP50" s="36">
        <f t="shared" si="6"/>
        <v>0</v>
      </c>
      <c r="CQ50" s="36">
        <f t="shared" si="7"/>
        <v>0</v>
      </c>
      <c r="CR50" s="36">
        <f t="shared" si="8"/>
        <v>0</v>
      </c>
      <c r="CS50" s="36">
        <f t="shared" si="9"/>
        <v>0</v>
      </c>
      <c r="CT50" s="36">
        <f t="shared" si="10"/>
        <v>0</v>
      </c>
      <c r="CU50" s="36">
        <f t="shared" si="11"/>
        <v>0</v>
      </c>
      <c r="CV50" s="36">
        <f t="shared" si="12"/>
        <v>0</v>
      </c>
      <c r="CW50" s="36">
        <f t="shared" si="13"/>
        <v>0</v>
      </c>
      <c r="CX50" s="36">
        <f t="shared" si="14"/>
        <v>0</v>
      </c>
      <c r="CY50" s="36">
        <f t="shared" si="15"/>
        <v>0</v>
      </c>
      <c r="CZ50" s="36">
        <f t="shared" si="16"/>
        <v>0</v>
      </c>
      <c r="DA50" s="36">
        <f t="shared" si="17"/>
        <v>0</v>
      </c>
      <c r="DB50" s="37">
        <f t="shared" si="18"/>
        <v>0</v>
      </c>
      <c r="DC50" s="35">
        <f t="shared" si="19"/>
        <v>0.010067955826987315</v>
      </c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7"/>
      <c r="DQ50" s="16" t="s">
        <v>43</v>
      </c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8"/>
      <c r="EH50" s="16" t="s">
        <v>43</v>
      </c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8"/>
      <c r="EY50" s="16" t="s">
        <v>43</v>
      </c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8"/>
      <c r="FP50" s="16" t="s">
        <v>43</v>
      </c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8"/>
      <c r="GG50" s="35">
        <f>0.083*0.121300672614305</f>
        <v>0.010067955826987315</v>
      </c>
      <c r="GH50" s="36"/>
      <c r="GI50" s="36"/>
      <c r="GJ50" s="36"/>
      <c r="GK50" s="36"/>
      <c r="GL50" s="36"/>
      <c r="GM50" s="36"/>
      <c r="GN50" s="36"/>
      <c r="GO50" s="36"/>
      <c r="GP50" s="37"/>
      <c r="GQ50" s="35">
        <v>0</v>
      </c>
      <c r="GR50" s="36"/>
      <c r="GS50" s="36"/>
      <c r="GT50" s="36"/>
      <c r="GU50" s="36"/>
      <c r="GV50" s="36"/>
      <c r="GW50" s="36"/>
      <c r="GX50" s="36"/>
      <c r="GY50" s="36"/>
      <c r="GZ50" s="37"/>
      <c r="HA50" s="35">
        <v>0</v>
      </c>
      <c r="HB50" s="36"/>
      <c r="HC50" s="36"/>
      <c r="HD50" s="36"/>
      <c r="HE50" s="36"/>
      <c r="HF50" s="36"/>
      <c r="HG50" s="36"/>
      <c r="HH50" s="36"/>
      <c r="HI50" s="36"/>
      <c r="HJ50" s="37"/>
      <c r="HK50" s="35">
        <v>0</v>
      </c>
      <c r="HL50" s="36"/>
      <c r="HM50" s="36"/>
      <c r="HN50" s="36"/>
      <c r="HO50" s="36"/>
      <c r="HP50" s="36"/>
      <c r="HQ50" s="36"/>
      <c r="HR50" s="36"/>
      <c r="HS50" s="36"/>
      <c r="HT50" s="37"/>
      <c r="HU50" s="35">
        <v>0</v>
      </c>
      <c r="HV50" s="36"/>
      <c r="HW50" s="36"/>
      <c r="HX50" s="36"/>
      <c r="HY50" s="36"/>
      <c r="HZ50" s="36"/>
      <c r="IA50" s="36"/>
      <c r="IB50" s="36"/>
      <c r="IC50" s="36"/>
      <c r="ID50" s="37"/>
      <c r="IE50" s="35">
        <f t="shared" si="0"/>
        <v>0.010067955826987315</v>
      </c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42"/>
    </row>
    <row r="51" spans="1:250" ht="25.5" customHeight="1">
      <c r="A51" s="26" t="s">
        <v>164</v>
      </c>
      <c r="B51" s="27"/>
      <c r="C51" s="27"/>
      <c r="D51" s="27"/>
      <c r="E51" s="28"/>
      <c r="F51" s="23" t="s">
        <v>83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5"/>
      <c r="AF51" s="16"/>
      <c r="AG51" s="17"/>
      <c r="AH51" s="17"/>
      <c r="AI51" s="17"/>
      <c r="AJ51" s="17"/>
      <c r="AK51" s="17"/>
      <c r="AL51" s="17"/>
      <c r="AM51" s="17"/>
      <c r="AN51" s="17"/>
      <c r="AO51" s="18"/>
      <c r="AP51" s="16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8"/>
      <c r="BG51" s="29">
        <v>42017</v>
      </c>
      <c r="BH51" s="30"/>
      <c r="BI51" s="30"/>
      <c r="BJ51" s="30"/>
      <c r="BK51" s="30"/>
      <c r="BL51" s="30"/>
      <c r="BM51" s="30"/>
      <c r="BN51" s="30"/>
      <c r="BO51" s="30"/>
      <c r="BP51" s="31"/>
      <c r="BQ51" s="29">
        <v>42017</v>
      </c>
      <c r="BR51" s="30"/>
      <c r="BS51" s="30"/>
      <c r="BT51" s="30"/>
      <c r="BU51" s="30"/>
      <c r="BV51" s="30"/>
      <c r="BW51" s="30"/>
      <c r="BX51" s="30"/>
      <c r="BY51" s="30"/>
      <c r="BZ51" s="31"/>
      <c r="CA51" s="35">
        <f>CO51</f>
        <v>0.025322409663199034</v>
      </c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7"/>
      <c r="CO51" s="35">
        <f t="shared" si="5"/>
        <v>0.025322409663199034</v>
      </c>
      <c r="CP51" s="36">
        <f t="shared" si="6"/>
        <v>0</v>
      </c>
      <c r="CQ51" s="36">
        <f t="shared" si="7"/>
        <v>0</v>
      </c>
      <c r="CR51" s="36">
        <f t="shared" si="8"/>
        <v>0</v>
      </c>
      <c r="CS51" s="36">
        <f t="shared" si="9"/>
        <v>0</v>
      </c>
      <c r="CT51" s="36">
        <f t="shared" si="10"/>
        <v>0</v>
      </c>
      <c r="CU51" s="36">
        <f t="shared" si="11"/>
        <v>0</v>
      </c>
      <c r="CV51" s="36">
        <f t="shared" si="12"/>
        <v>0</v>
      </c>
      <c r="CW51" s="36">
        <f t="shared" si="13"/>
        <v>0</v>
      </c>
      <c r="CX51" s="36">
        <f t="shared" si="14"/>
        <v>0</v>
      </c>
      <c r="CY51" s="36">
        <f t="shared" si="15"/>
        <v>0</v>
      </c>
      <c r="CZ51" s="36">
        <f t="shared" si="16"/>
        <v>0</v>
      </c>
      <c r="DA51" s="36">
        <f t="shared" si="17"/>
        <v>0</v>
      </c>
      <c r="DB51" s="37">
        <f t="shared" si="18"/>
        <v>0</v>
      </c>
      <c r="DC51" s="35">
        <f t="shared" si="19"/>
        <v>0</v>
      </c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7"/>
      <c r="DQ51" s="16" t="s">
        <v>43</v>
      </c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8"/>
      <c r="EH51" s="16" t="s">
        <v>43</v>
      </c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8"/>
      <c r="EY51" s="16" t="s">
        <v>43</v>
      </c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8"/>
      <c r="FP51" s="16" t="s">
        <v>43</v>
      </c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8"/>
      <c r="GG51" s="35">
        <v>0</v>
      </c>
      <c r="GH51" s="36"/>
      <c r="GI51" s="36"/>
      <c r="GJ51" s="36"/>
      <c r="GK51" s="36"/>
      <c r="GL51" s="36"/>
      <c r="GM51" s="36"/>
      <c r="GN51" s="36"/>
      <c r="GO51" s="36"/>
      <c r="GP51" s="37"/>
      <c r="GQ51" s="35">
        <f>0.057*0.444252801108755</f>
        <v>0.025322409663199034</v>
      </c>
      <c r="GR51" s="36"/>
      <c r="GS51" s="36"/>
      <c r="GT51" s="36"/>
      <c r="GU51" s="36"/>
      <c r="GV51" s="36"/>
      <c r="GW51" s="36"/>
      <c r="GX51" s="36"/>
      <c r="GY51" s="36"/>
      <c r="GZ51" s="37"/>
      <c r="HA51" s="35">
        <v>0</v>
      </c>
      <c r="HB51" s="36"/>
      <c r="HC51" s="36"/>
      <c r="HD51" s="36"/>
      <c r="HE51" s="36"/>
      <c r="HF51" s="36"/>
      <c r="HG51" s="36"/>
      <c r="HH51" s="36"/>
      <c r="HI51" s="36"/>
      <c r="HJ51" s="37"/>
      <c r="HK51" s="35">
        <v>0</v>
      </c>
      <c r="HL51" s="36"/>
      <c r="HM51" s="36"/>
      <c r="HN51" s="36"/>
      <c r="HO51" s="36"/>
      <c r="HP51" s="36"/>
      <c r="HQ51" s="36"/>
      <c r="HR51" s="36"/>
      <c r="HS51" s="36"/>
      <c r="HT51" s="37"/>
      <c r="HU51" s="35">
        <v>0</v>
      </c>
      <c r="HV51" s="36"/>
      <c r="HW51" s="36"/>
      <c r="HX51" s="36"/>
      <c r="HY51" s="36"/>
      <c r="HZ51" s="36"/>
      <c r="IA51" s="36"/>
      <c r="IB51" s="36"/>
      <c r="IC51" s="36"/>
      <c r="ID51" s="37"/>
      <c r="IE51" s="35">
        <f t="shared" si="0"/>
        <v>0.025322409663199034</v>
      </c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42"/>
    </row>
    <row r="52" spans="1:250" s="2" customFormat="1" ht="45.75" customHeight="1">
      <c r="A52" s="26" t="s">
        <v>165</v>
      </c>
      <c r="B52" s="27"/>
      <c r="C52" s="27"/>
      <c r="D52" s="27"/>
      <c r="E52" s="28"/>
      <c r="F52" s="23" t="s">
        <v>84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5"/>
      <c r="AF52" s="16"/>
      <c r="AG52" s="17"/>
      <c r="AH52" s="17"/>
      <c r="AI52" s="17"/>
      <c r="AJ52" s="17"/>
      <c r="AK52" s="17"/>
      <c r="AL52" s="17"/>
      <c r="AM52" s="17"/>
      <c r="AN52" s="17"/>
      <c r="AO52" s="18"/>
      <c r="AP52" s="16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8"/>
      <c r="BG52" s="29">
        <v>42016</v>
      </c>
      <c r="BH52" s="30"/>
      <c r="BI52" s="30"/>
      <c r="BJ52" s="30"/>
      <c r="BK52" s="30"/>
      <c r="BL52" s="30"/>
      <c r="BM52" s="30"/>
      <c r="BN52" s="30"/>
      <c r="BO52" s="30"/>
      <c r="BP52" s="31"/>
      <c r="BQ52" s="29">
        <v>42016</v>
      </c>
      <c r="BR52" s="30"/>
      <c r="BS52" s="30"/>
      <c r="BT52" s="30"/>
      <c r="BU52" s="30"/>
      <c r="BV52" s="30"/>
      <c r="BW52" s="30"/>
      <c r="BX52" s="30"/>
      <c r="BY52" s="30"/>
      <c r="BZ52" s="31"/>
      <c r="CA52" s="35">
        <f>CO52</f>
        <v>0.03978662061749204</v>
      </c>
      <c r="CB52" s="36">
        <v>328.1816</v>
      </c>
      <c r="CC52" s="36">
        <v>328.1816</v>
      </c>
      <c r="CD52" s="36">
        <v>328.1816</v>
      </c>
      <c r="CE52" s="36">
        <v>328.1816</v>
      </c>
      <c r="CF52" s="36">
        <v>328.1816</v>
      </c>
      <c r="CG52" s="36">
        <v>328.1816</v>
      </c>
      <c r="CH52" s="36">
        <v>328.1816</v>
      </c>
      <c r="CI52" s="36">
        <v>328.1816</v>
      </c>
      <c r="CJ52" s="36">
        <v>328.1816</v>
      </c>
      <c r="CK52" s="36">
        <v>328.1816</v>
      </c>
      <c r="CL52" s="36">
        <v>328.1816</v>
      </c>
      <c r="CM52" s="36">
        <v>328.1816</v>
      </c>
      <c r="CN52" s="37">
        <v>328.1816</v>
      </c>
      <c r="CO52" s="35">
        <f t="shared" si="5"/>
        <v>0.03978662061749204</v>
      </c>
      <c r="CP52" s="36">
        <f t="shared" si="6"/>
        <v>0</v>
      </c>
      <c r="CQ52" s="36">
        <f t="shared" si="7"/>
        <v>0</v>
      </c>
      <c r="CR52" s="36">
        <f t="shared" si="8"/>
        <v>0</v>
      </c>
      <c r="CS52" s="36">
        <f t="shared" si="9"/>
        <v>0</v>
      </c>
      <c r="CT52" s="36">
        <f t="shared" si="10"/>
        <v>0</v>
      </c>
      <c r="CU52" s="36">
        <f t="shared" si="11"/>
        <v>0</v>
      </c>
      <c r="CV52" s="36">
        <f t="shared" si="12"/>
        <v>0</v>
      </c>
      <c r="CW52" s="36">
        <f t="shared" si="13"/>
        <v>0</v>
      </c>
      <c r="CX52" s="36">
        <f t="shared" si="14"/>
        <v>0</v>
      </c>
      <c r="CY52" s="36">
        <f t="shared" si="15"/>
        <v>0</v>
      </c>
      <c r="CZ52" s="36">
        <f t="shared" si="16"/>
        <v>0</v>
      </c>
      <c r="DA52" s="36">
        <f t="shared" si="17"/>
        <v>0</v>
      </c>
      <c r="DB52" s="37">
        <f t="shared" si="18"/>
        <v>0</v>
      </c>
      <c r="DC52" s="35">
        <f t="shared" si="19"/>
        <v>0.03978662061749204</v>
      </c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7"/>
      <c r="DQ52" s="16" t="s">
        <v>43</v>
      </c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8"/>
      <c r="EH52" s="16" t="s">
        <v>43</v>
      </c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8"/>
      <c r="EY52" s="16" t="s">
        <v>43</v>
      </c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8"/>
      <c r="FP52" s="16" t="s">
        <v>43</v>
      </c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8"/>
      <c r="GG52" s="35">
        <f>0.328*0.121300672614305</f>
        <v>0.03978662061749204</v>
      </c>
      <c r="GH52" s="36"/>
      <c r="GI52" s="36"/>
      <c r="GJ52" s="36"/>
      <c r="GK52" s="36"/>
      <c r="GL52" s="36"/>
      <c r="GM52" s="36"/>
      <c r="GN52" s="36"/>
      <c r="GO52" s="36"/>
      <c r="GP52" s="37"/>
      <c r="GQ52" s="35">
        <v>0</v>
      </c>
      <c r="GR52" s="36"/>
      <c r="GS52" s="36"/>
      <c r="GT52" s="36"/>
      <c r="GU52" s="36"/>
      <c r="GV52" s="36"/>
      <c r="GW52" s="36"/>
      <c r="GX52" s="36"/>
      <c r="GY52" s="36"/>
      <c r="GZ52" s="37"/>
      <c r="HA52" s="35">
        <v>0</v>
      </c>
      <c r="HB52" s="36"/>
      <c r="HC52" s="36"/>
      <c r="HD52" s="36"/>
      <c r="HE52" s="36"/>
      <c r="HF52" s="36"/>
      <c r="HG52" s="36"/>
      <c r="HH52" s="36"/>
      <c r="HI52" s="36"/>
      <c r="HJ52" s="37"/>
      <c r="HK52" s="35">
        <v>0</v>
      </c>
      <c r="HL52" s="36"/>
      <c r="HM52" s="36"/>
      <c r="HN52" s="36"/>
      <c r="HO52" s="36"/>
      <c r="HP52" s="36"/>
      <c r="HQ52" s="36"/>
      <c r="HR52" s="36"/>
      <c r="HS52" s="36"/>
      <c r="HT52" s="37"/>
      <c r="HU52" s="35">
        <v>0</v>
      </c>
      <c r="HV52" s="36"/>
      <c r="HW52" s="36"/>
      <c r="HX52" s="36"/>
      <c r="HY52" s="36"/>
      <c r="HZ52" s="36"/>
      <c r="IA52" s="36"/>
      <c r="IB52" s="36"/>
      <c r="IC52" s="36"/>
      <c r="ID52" s="37"/>
      <c r="IE52" s="35">
        <f t="shared" si="0"/>
        <v>0.03978662061749204</v>
      </c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42"/>
    </row>
    <row r="53" spans="1:250" s="2" customFormat="1" ht="39.75" customHeight="1">
      <c r="A53" s="26" t="s">
        <v>166</v>
      </c>
      <c r="B53" s="27"/>
      <c r="C53" s="27"/>
      <c r="D53" s="27"/>
      <c r="E53" s="28"/>
      <c r="F53" s="23" t="s">
        <v>85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  <c r="AF53" s="16"/>
      <c r="AG53" s="17"/>
      <c r="AH53" s="17"/>
      <c r="AI53" s="17"/>
      <c r="AJ53" s="17"/>
      <c r="AK53" s="17"/>
      <c r="AL53" s="17"/>
      <c r="AM53" s="17"/>
      <c r="AN53" s="17"/>
      <c r="AO53" s="18"/>
      <c r="AP53" s="16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8"/>
      <c r="BG53" s="29">
        <v>42016</v>
      </c>
      <c r="BH53" s="30"/>
      <c r="BI53" s="30"/>
      <c r="BJ53" s="30"/>
      <c r="BK53" s="30"/>
      <c r="BL53" s="30"/>
      <c r="BM53" s="30"/>
      <c r="BN53" s="30"/>
      <c r="BO53" s="30"/>
      <c r="BP53" s="31"/>
      <c r="BQ53" s="29">
        <v>42017</v>
      </c>
      <c r="BR53" s="30"/>
      <c r="BS53" s="30"/>
      <c r="BT53" s="30"/>
      <c r="BU53" s="30"/>
      <c r="BV53" s="30"/>
      <c r="BW53" s="30"/>
      <c r="BX53" s="30"/>
      <c r="BY53" s="30"/>
      <c r="BZ53" s="31"/>
      <c r="CA53" s="35">
        <f>CO53</f>
        <v>0.0374068800489878</v>
      </c>
      <c r="CB53" s="36">
        <v>129.564</v>
      </c>
      <c r="CC53" s="36">
        <v>129.564</v>
      </c>
      <c r="CD53" s="36">
        <v>129.564</v>
      </c>
      <c r="CE53" s="36">
        <v>129.564</v>
      </c>
      <c r="CF53" s="36">
        <v>129.564</v>
      </c>
      <c r="CG53" s="36">
        <v>129.564</v>
      </c>
      <c r="CH53" s="36">
        <v>129.564</v>
      </c>
      <c r="CI53" s="36">
        <v>129.564</v>
      </c>
      <c r="CJ53" s="36">
        <v>129.564</v>
      </c>
      <c r="CK53" s="36">
        <v>129.564</v>
      </c>
      <c r="CL53" s="36">
        <v>129.564</v>
      </c>
      <c r="CM53" s="36">
        <v>129.564</v>
      </c>
      <c r="CN53" s="37">
        <v>129.564</v>
      </c>
      <c r="CO53" s="35">
        <f t="shared" si="5"/>
        <v>0.0374068800489878</v>
      </c>
      <c r="CP53" s="36">
        <f t="shared" si="6"/>
        <v>0</v>
      </c>
      <c r="CQ53" s="36">
        <f t="shared" si="7"/>
        <v>0</v>
      </c>
      <c r="CR53" s="36">
        <f t="shared" si="8"/>
        <v>0</v>
      </c>
      <c r="CS53" s="36">
        <f t="shared" si="9"/>
        <v>0</v>
      </c>
      <c r="CT53" s="36">
        <f t="shared" si="10"/>
        <v>0</v>
      </c>
      <c r="CU53" s="36">
        <f t="shared" si="11"/>
        <v>0</v>
      </c>
      <c r="CV53" s="36">
        <f t="shared" si="12"/>
        <v>0</v>
      </c>
      <c r="CW53" s="36">
        <f t="shared" si="13"/>
        <v>0</v>
      </c>
      <c r="CX53" s="36">
        <f t="shared" si="14"/>
        <v>0</v>
      </c>
      <c r="CY53" s="36">
        <f t="shared" si="15"/>
        <v>0</v>
      </c>
      <c r="CZ53" s="36">
        <f t="shared" si="16"/>
        <v>0</v>
      </c>
      <c r="DA53" s="36">
        <f t="shared" si="17"/>
        <v>0</v>
      </c>
      <c r="DB53" s="37">
        <f t="shared" si="18"/>
        <v>0</v>
      </c>
      <c r="DC53" s="35">
        <f t="shared" si="19"/>
        <v>0.007641942374701215</v>
      </c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7"/>
      <c r="DQ53" s="16" t="s">
        <v>43</v>
      </c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8"/>
      <c r="EH53" s="16" t="s">
        <v>43</v>
      </c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8"/>
      <c r="EY53" s="16" t="s">
        <v>43</v>
      </c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8"/>
      <c r="FP53" s="16" t="s">
        <v>43</v>
      </c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8"/>
      <c r="GG53" s="35">
        <f>0.063*0.121300672614305</f>
        <v>0.007641942374701215</v>
      </c>
      <c r="GH53" s="36"/>
      <c r="GI53" s="36"/>
      <c r="GJ53" s="36"/>
      <c r="GK53" s="36"/>
      <c r="GL53" s="36"/>
      <c r="GM53" s="36"/>
      <c r="GN53" s="36"/>
      <c r="GO53" s="36"/>
      <c r="GP53" s="37"/>
      <c r="GQ53" s="35">
        <f>0.067*0.444252801108755</f>
        <v>0.029764937674286587</v>
      </c>
      <c r="GR53" s="36"/>
      <c r="GS53" s="36"/>
      <c r="GT53" s="36"/>
      <c r="GU53" s="36"/>
      <c r="GV53" s="36"/>
      <c r="GW53" s="36"/>
      <c r="GX53" s="36"/>
      <c r="GY53" s="36"/>
      <c r="GZ53" s="37"/>
      <c r="HA53" s="35">
        <v>0</v>
      </c>
      <c r="HB53" s="36"/>
      <c r="HC53" s="36"/>
      <c r="HD53" s="36"/>
      <c r="HE53" s="36"/>
      <c r="HF53" s="36"/>
      <c r="HG53" s="36"/>
      <c r="HH53" s="36"/>
      <c r="HI53" s="36"/>
      <c r="HJ53" s="37"/>
      <c r="HK53" s="35">
        <v>0</v>
      </c>
      <c r="HL53" s="36"/>
      <c r="HM53" s="36"/>
      <c r="HN53" s="36"/>
      <c r="HO53" s="36"/>
      <c r="HP53" s="36"/>
      <c r="HQ53" s="36"/>
      <c r="HR53" s="36"/>
      <c r="HS53" s="36"/>
      <c r="HT53" s="37"/>
      <c r="HU53" s="35">
        <v>0</v>
      </c>
      <c r="HV53" s="36"/>
      <c r="HW53" s="36"/>
      <c r="HX53" s="36"/>
      <c r="HY53" s="36"/>
      <c r="HZ53" s="36"/>
      <c r="IA53" s="36"/>
      <c r="IB53" s="36"/>
      <c r="IC53" s="36"/>
      <c r="ID53" s="37"/>
      <c r="IE53" s="35">
        <f t="shared" si="0"/>
        <v>0.0374068800489878</v>
      </c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42"/>
    </row>
    <row r="54" spans="1:250" s="2" customFormat="1" ht="45.75" customHeight="1">
      <c r="A54" s="26" t="s">
        <v>167</v>
      </c>
      <c r="B54" s="27"/>
      <c r="C54" s="27"/>
      <c r="D54" s="27"/>
      <c r="E54" s="28"/>
      <c r="F54" s="19" t="s">
        <v>86</v>
      </c>
      <c r="G54" s="20"/>
      <c r="H54" s="20"/>
      <c r="I54" s="20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2"/>
      <c r="AF54" s="16"/>
      <c r="AG54" s="17"/>
      <c r="AH54" s="17"/>
      <c r="AI54" s="17"/>
      <c r="AJ54" s="17"/>
      <c r="AK54" s="17"/>
      <c r="AL54" s="17"/>
      <c r="AM54" s="17"/>
      <c r="AN54" s="17"/>
      <c r="AO54" s="18"/>
      <c r="AP54" s="16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8"/>
      <c r="BG54" s="29">
        <v>42016</v>
      </c>
      <c r="BH54" s="30"/>
      <c r="BI54" s="30"/>
      <c r="BJ54" s="30"/>
      <c r="BK54" s="30"/>
      <c r="BL54" s="30"/>
      <c r="BM54" s="30"/>
      <c r="BN54" s="30"/>
      <c r="BO54" s="30"/>
      <c r="BP54" s="31"/>
      <c r="BQ54" s="29">
        <v>42016</v>
      </c>
      <c r="BR54" s="30"/>
      <c r="BS54" s="30"/>
      <c r="BT54" s="30"/>
      <c r="BU54" s="30"/>
      <c r="BV54" s="30"/>
      <c r="BW54" s="30"/>
      <c r="BX54" s="30"/>
      <c r="BY54" s="30"/>
      <c r="BZ54" s="31"/>
      <c r="CA54" s="35">
        <f>CO54</f>
        <v>0.01188746591620189</v>
      </c>
      <c r="CB54" s="36">
        <v>97.645</v>
      </c>
      <c r="CC54" s="36">
        <v>97.645</v>
      </c>
      <c r="CD54" s="36">
        <v>97.645</v>
      </c>
      <c r="CE54" s="36">
        <v>97.645</v>
      </c>
      <c r="CF54" s="36">
        <v>97.645</v>
      </c>
      <c r="CG54" s="36">
        <v>97.645</v>
      </c>
      <c r="CH54" s="36">
        <v>97.645</v>
      </c>
      <c r="CI54" s="36">
        <v>97.645</v>
      </c>
      <c r="CJ54" s="36">
        <v>97.645</v>
      </c>
      <c r="CK54" s="36">
        <v>97.645</v>
      </c>
      <c r="CL54" s="36">
        <v>97.645</v>
      </c>
      <c r="CM54" s="36">
        <v>97.645</v>
      </c>
      <c r="CN54" s="37">
        <v>97.645</v>
      </c>
      <c r="CO54" s="35">
        <f t="shared" si="5"/>
        <v>0.01188746591620189</v>
      </c>
      <c r="CP54" s="36">
        <f t="shared" si="6"/>
        <v>0</v>
      </c>
      <c r="CQ54" s="36">
        <f t="shared" si="7"/>
        <v>0</v>
      </c>
      <c r="CR54" s="36">
        <f t="shared" si="8"/>
        <v>0</v>
      </c>
      <c r="CS54" s="36">
        <f t="shared" si="9"/>
        <v>0</v>
      </c>
      <c r="CT54" s="36">
        <f t="shared" si="10"/>
        <v>0</v>
      </c>
      <c r="CU54" s="36">
        <f t="shared" si="11"/>
        <v>0</v>
      </c>
      <c r="CV54" s="36">
        <f t="shared" si="12"/>
        <v>0</v>
      </c>
      <c r="CW54" s="36">
        <f t="shared" si="13"/>
        <v>0</v>
      </c>
      <c r="CX54" s="36">
        <f t="shared" si="14"/>
        <v>0</v>
      </c>
      <c r="CY54" s="36">
        <f t="shared" si="15"/>
        <v>0</v>
      </c>
      <c r="CZ54" s="36">
        <f t="shared" si="16"/>
        <v>0</v>
      </c>
      <c r="DA54" s="36">
        <f t="shared" si="17"/>
        <v>0</v>
      </c>
      <c r="DB54" s="37">
        <f t="shared" si="18"/>
        <v>0</v>
      </c>
      <c r="DC54" s="35">
        <f t="shared" si="19"/>
        <v>0.01188746591620189</v>
      </c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7"/>
      <c r="DQ54" s="16" t="s">
        <v>43</v>
      </c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8"/>
      <c r="EH54" s="16" t="s">
        <v>43</v>
      </c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8"/>
      <c r="EY54" s="16" t="s">
        <v>43</v>
      </c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8"/>
      <c r="FP54" s="16" t="s">
        <v>43</v>
      </c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8"/>
      <c r="GG54" s="35">
        <f>0.098*0.121300672614305</f>
        <v>0.01188746591620189</v>
      </c>
      <c r="GH54" s="36"/>
      <c r="GI54" s="36"/>
      <c r="GJ54" s="36"/>
      <c r="GK54" s="36"/>
      <c r="GL54" s="36"/>
      <c r="GM54" s="36"/>
      <c r="GN54" s="36"/>
      <c r="GO54" s="36"/>
      <c r="GP54" s="37"/>
      <c r="GQ54" s="35">
        <v>0</v>
      </c>
      <c r="GR54" s="36"/>
      <c r="GS54" s="36"/>
      <c r="GT54" s="36"/>
      <c r="GU54" s="36"/>
      <c r="GV54" s="36"/>
      <c r="GW54" s="36"/>
      <c r="GX54" s="36"/>
      <c r="GY54" s="36"/>
      <c r="GZ54" s="37"/>
      <c r="HA54" s="35">
        <v>0</v>
      </c>
      <c r="HB54" s="36"/>
      <c r="HC54" s="36"/>
      <c r="HD54" s="36"/>
      <c r="HE54" s="36"/>
      <c r="HF54" s="36"/>
      <c r="HG54" s="36"/>
      <c r="HH54" s="36"/>
      <c r="HI54" s="36"/>
      <c r="HJ54" s="37"/>
      <c r="HK54" s="35">
        <v>0</v>
      </c>
      <c r="HL54" s="36"/>
      <c r="HM54" s="36"/>
      <c r="HN54" s="36"/>
      <c r="HO54" s="36"/>
      <c r="HP54" s="36"/>
      <c r="HQ54" s="36"/>
      <c r="HR54" s="36"/>
      <c r="HS54" s="36"/>
      <c r="HT54" s="37"/>
      <c r="HU54" s="35">
        <v>0</v>
      </c>
      <c r="HV54" s="36"/>
      <c r="HW54" s="36"/>
      <c r="HX54" s="36"/>
      <c r="HY54" s="36"/>
      <c r="HZ54" s="36"/>
      <c r="IA54" s="36"/>
      <c r="IB54" s="36"/>
      <c r="IC54" s="36"/>
      <c r="ID54" s="37"/>
      <c r="IE54" s="35">
        <f t="shared" si="0"/>
        <v>0.01188746591620189</v>
      </c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42"/>
    </row>
    <row r="55" spans="1:250" s="2" customFormat="1" ht="31.5" customHeight="1">
      <c r="A55" s="26" t="s">
        <v>168</v>
      </c>
      <c r="B55" s="27"/>
      <c r="C55" s="27"/>
      <c r="D55" s="27"/>
      <c r="E55" s="28"/>
      <c r="F55" s="19" t="s">
        <v>87</v>
      </c>
      <c r="G55" s="20"/>
      <c r="H55" s="20"/>
      <c r="I55" s="20"/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2"/>
      <c r="AF55" s="16"/>
      <c r="AG55" s="17"/>
      <c r="AH55" s="17"/>
      <c r="AI55" s="17"/>
      <c r="AJ55" s="17"/>
      <c r="AK55" s="17"/>
      <c r="AL55" s="17"/>
      <c r="AM55" s="17"/>
      <c r="AN55" s="17"/>
      <c r="AO55" s="18"/>
      <c r="AP55" s="16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8"/>
      <c r="BG55" s="29">
        <v>42016</v>
      </c>
      <c r="BH55" s="30"/>
      <c r="BI55" s="30"/>
      <c r="BJ55" s="30"/>
      <c r="BK55" s="30"/>
      <c r="BL55" s="30"/>
      <c r="BM55" s="30"/>
      <c r="BN55" s="30"/>
      <c r="BO55" s="30"/>
      <c r="BP55" s="31"/>
      <c r="BQ55" s="29">
        <v>42016</v>
      </c>
      <c r="BR55" s="30"/>
      <c r="BS55" s="30"/>
      <c r="BT55" s="30"/>
      <c r="BU55" s="30"/>
      <c r="BV55" s="30"/>
      <c r="BW55" s="30"/>
      <c r="BX55" s="30"/>
      <c r="BY55" s="30"/>
      <c r="BZ55" s="31"/>
      <c r="CA55" s="35">
        <f>CO55</f>
        <v>0.012493969279273414</v>
      </c>
      <c r="CB55" s="36">
        <v>103.3916</v>
      </c>
      <c r="CC55" s="36">
        <v>103.3916</v>
      </c>
      <c r="CD55" s="36">
        <v>103.3916</v>
      </c>
      <c r="CE55" s="36">
        <v>103.3916</v>
      </c>
      <c r="CF55" s="36">
        <v>103.3916</v>
      </c>
      <c r="CG55" s="36">
        <v>103.3916</v>
      </c>
      <c r="CH55" s="36">
        <v>103.3916</v>
      </c>
      <c r="CI55" s="36">
        <v>103.3916</v>
      </c>
      <c r="CJ55" s="36">
        <v>103.3916</v>
      </c>
      <c r="CK55" s="36">
        <v>103.3916</v>
      </c>
      <c r="CL55" s="36">
        <v>103.3916</v>
      </c>
      <c r="CM55" s="36">
        <v>103.3916</v>
      </c>
      <c r="CN55" s="37">
        <v>103.3916</v>
      </c>
      <c r="CO55" s="35">
        <f t="shared" si="5"/>
        <v>0.012493969279273414</v>
      </c>
      <c r="CP55" s="36">
        <f t="shared" si="6"/>
        <v>0</v>
      </c>
      <c r="CQ55" s="36">
        <f t="shared" si="7"/>
        <v>0</v>
      </c>
      <c r="CR55" s="36">
        <f t="shared" si="8"/>
        <v>0</v>
      </c>
      <c r="CS55" s="36">
        <f t="shared" si="9"/>
        <v>0</v>
      </c>
      <c r="CT55" s="36">
        <f t="shared" si="10"/>
        <v>0</v>
      </c>
      <c r="CU55" s="36">
        <f t="shared" si="11"/>
        <v>0</v>
      </c>
      <c r="CV55" s="36">
        <f t="shared" si="12"/>
        <v>0</v>
      </c>
      <c r="CW55" s="36">
        <f t="shared" si="13"/>
        <v>0</v>
      </c>
      <c r="CX55" s="36">
        <f t="shared" si="14"/>
        <v>0</v>
      </c>
      <c r="CY55" s="36">
        <f t="shared" si="15"/>
        <v>0</v>
      </c>
      <c r="CZ55" s="36">
        <f t="shared" si="16"/>
        <v>0</v>
      </c>
      <c r="DA55" s="36">
        <f t="shared" si="17"/>
        <v>0</v>
      </c>
      <c r="DB55" s="37">
        <f t="shared" si="18"/>
        <v>0</v>
      </c>
      <c r="DC55" s="35">
        <f t="shared" si="19"/>
        <v>0.012493969279273414</v>
      </c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7"/>
      <c r="DQ55" s="16" t="s">
        <v>43</v>
      </c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8"/>
      <c r="EH55" s="16" t="s">
        <v>43</v>
      </c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8"/>
      <c r="EY55" s="16" t="s">
        <v>43</v>
      </c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8"/>
      <c r="FP55" s="16" t="s">
        <v>43</v>
      </c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8"/>
      <c r="GG55" s="35">
        <f>0.103*0.121300672614305</f>
        <v>0.012493969279273414</v>
      </c>
      <c r="GH55" s="36"/>
      <c r="GI55" s="36"/>
      <c r="GJ55" s="36"/>
      <c r="GK55" s="36"/>
      <c r="GL55" s="36"/>
      <c r="GM55" s="36"/>
      <c r="GN55" s="36"/>
      <c r="GO55" s="36"/>
      <c r="GP55" s="37"/>
      <c r="GQ55" s="35">
        <v>0</v>
      </c>
      <c r="GR55" s="36"/>
      <c r="GS55" s="36"/>
      <c r="GT55" s="36"/>
      <c r="GU55" s="36"/>
      <c r="GV55" s="36"/>
      <c r="GW55" s="36"/>
      <c r="GX55" s="36"/>
      <c r="GY55" s="36"/>
      <c r="GZ55" s="37"/>
      <c r="HA55" s="35">
        <v>0</v>
      </c>
      <c r="HB55" s="36"/>
      <c r="HC55" s="36"/>
      <c r="HD55" s="36"/>
      <c r="HE55" s="36"/>
      <c r="HF55" s="36"/>
      <c r="HG55" s="36"/>
      <c r="HH55" s="36"/>
      <c r="HI55" s="36"/>
      <c r="HJ55" s="37"/>
      <c r="HK55" s="35">
        <v>0</v>
      </c>
      <c r="HL55" s="36"/>
      <c r="HM55" s="36"/>
      <c r="HN55" s="36"/>
      <c r="HO55" s="36"/>
      <c r="HP55" s="36"/>
      <c r="HQ55" s="36"/>
      <c r="HR55" s="36"/>
      <c r="HS55" s="36"/>
      <c r="HT55" s="37"/>
      <c r="HU55" s="35">
        <v>0</v>
      </c>
      <c r="HV55" s="36"/>
      <c r="HW55" s="36"/>
      <c r="HX55" s="36"/>
      <c r="HY55" s="36"/>
      <c r="HZ55" s="36"/>
      <c r="IA55" s="36"/>
      <c r="IB55" s="36"/>
      <c r="IC55" s="36"/>
      <c r="ID55" s="37"/>
      <c r="IE55" s="35">
        <f t="shared" si="0"/>
        <v>0.012493969279273414</v>
      </c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42"/>
    </row>
    <row r="56" spans="1:250" s="2" customFormat="1" ht="44.25" customHeight="1">
      <c r="A56" s="26" t="s">
        <v>169</v>
      </c>
      <c r="B56" s="27"/>
      <c r="C56" s="27"/>
      <c r="D56" s="27"/>
      <c r="E56" s="28"/>
      <c r="F56" s="23" t="s">
        <v>88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5"/>
      <c r="AF56" s="16"/>
      <c r="AG56" s="17"/>
      <c r="AH56" s="17"/>
      <c r="AI56" s="17"/>
      <c r="AJ56" s="17"/>
      <c r="AK56" s="17"/>
      <c r="AL56" s="17"/>
      <c r="AM56" s="17"/>
      <c r="AN56" s="17"/>
      <c r="AO56" s="18"/>
      <c r="AP56" s="16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8"/>
      <c r="BG56" s="29">
        <v>42016</v>
      </c>
      <c r="BH56" s="30"/>
      <c r="BI56" s="30"/>
      <c r="BJ56" s="30"/>
      <c r="BK56" s="30"/>
      <c r="BL56" s="30"/>
      <c r="BM56" s="30"/>
      <c r="BN56" s="30"/>
      <c r="BO56" s="30"/>
      <c r="BP56" s="31"/>
      <c r="BQ56" s="29">
        <v>42016</v>
      </c>
      <c r="BR56" s="30"/>
      <c r="BS56" s="30"/>
      <c r="BT56" s="30"/>
      <c r="BU56" s="30"/>
      <c r="BV56" s="30"/>
      <c r="BW56" s="30"/>
      <c r="BX56" s="30"/>
      <c r="BY56" s="30"/>
      <c r="BZ56" s="31"/>
      <c r="CA56" s="35">
        <f>CO56</f>
        <v>0.025109239231161134</v>
      </c>
      <c r="CB56" s="36">
        <v>206.7832</v>
      </c>
      <c r="CC56" s="36">
        <v>206.7832</v>
      </c>
      <c r="CD56" s="36">
        <v>206.7832</v>
      </c>
      <c r="CE56" s="36">
        <v>206.7832</v>
      </c>
      <c r="CF56" s="36">
        <v>206.7832</v>
      </c>
      <c r="CG56" s="36">
        <v>206.7832</v>
      </c>
      <c r="CH56" s="36">
        <v>206.7832</v>
      </c>
      <c r="CI56" s="36">
        <v>206.7832</v>
      </c>
      <c r="CJ56" s="36">
        <v>206.7832</v>
      </c>
      <c r="CK56" s="36">
        <v>206.7832</v>
      </c>
      <c r="CL56" s="36">
        <v>206.7832</v>
      </c>
      <c r="CM56" s="36">
        <v>206.7832</v>
      </c>
      <c r="CN56" s="37">
        <v>206.7832</v>
      </c>
      <c r="CO56" s="35">
        <f t="shared" si="5"/>
        <v>0.025109239231161134</v>
      </c>
      <c r="CP56" s="36">
        <f t="shared" si="6"/>
        <v>0</v>
      </c>
      <c r="CQ56" s="36">
        <f t="shared" si="7"/>
        <v>0</v>
      </c>
      <c r="CR56" s="36">
        <f t="shared" si="8"/>
        <v>0</v>
      </c>
      <c r="CS56" s="36">
        <f t="shared" si="9"/>
        <v>0</v>
      </c>
      <c r="CT56" s="36">
        <f t="shared" si="10"/>
        <v>0</v>
      </c>
      <c r="CU56" s="36">
        <f t="shared" si="11"/>
        <v>0</v>
      </c>
      <c r="CV56" s="36">
        <f t="shared" si="12"/>
        <v>0</v>
      </c>
      <c r="CW56" s="36">
        <f t="shared" si="13"/>
        <v>0</v>
      </c>
      <c r="CX56" s="36">
        <f t="shared" si="14"/>
        <v>0</v>
      </c>
      <c r="CY56" s="36">
        <f t="shared" si="15"/>
        <v>0</v>
      </c>
      <c r="CZ56" s="36">
        <f t="shared" si="16"/>
        <v>0</v>
      </c>
      <c r="DA56" s="36">
        <f t="shared" si="17"/>
        <v>0</v>
      </c>
      <c r="DB56" s="37">
        <f t="shared" si="18"/>
        <v>0</v>
      </c>
      <c r="DC56" s="35">
        <f t="shared" si="19"/>
        <v>0.025109239231161134</v>
      </c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7"/>
      <c r="DQ56" s="16" t="s">
        <v>43</v>
      </c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8"/>
      <c r="EH56" s="16" t="s">
        <v>43</v>
      </c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8"/>
      <c r="EY56" s="16" t="s">
        <v>43</v>
      </c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8"/>
      <c r="FP56" s="16" t="s">
        <v>43</v>
      </c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8"/>
      <c r="GG56" s="35">
        <f>0.207*0.121300672614305</f>
        <v>0.025109239231161134</v>
      </c>
      <c r="GH56" s="36"/>
      <c r="GI56" s="36"/>
      <c r="GJ56" s="36"/>
      <c r="GK56" s="36"/>
      <c r="GL56" s="36"/>
      <c r="GM56" s="36"/>
      <c r="GN56" s="36"/>
      <c r="GO56" s="36"/>
      <c r="GP56" s="37"/>
      <c r="GQ56" s="35">
        <v>0</v>
      </c>
      <c r="GR56" s="36"/>
      <c r="GS56" s="36"/>
      <c r="GT56" s="36"/>
      <c r="GU56" s="36"/>
      <c r="GV56" s="36"/>
      <c r="GW56" s="36"/>
      <c r="GX56" s="36"/>
      <c r="GY56" s="36"/>
      <c r="GZ56" s="37"/>
      <c r="HA56" s="35">
        <v>0</v>
      </c>
      <c r="HB56" s="36"/>
      <c r="HC56" s="36"/>
      <c r="HD56" s="36"/>
      <c r="HE56" s="36"/>
      <c r="HF56" s="36"/>
      <c r="HG56" s="36"/>
      <c r="HH56" s="36"/>
      <c r="HI56" s="36"/>
      <c r="HJ56" s="37"/>
      <c r="HK56" s="35">
        <v>0</v>
      </c>
      <c r="HL56" s="36"/>
      <c r="HM56" s="36"/>
      <c r="HN56" s="36"/>
      <c r="HO56" s="36"/>
      <c r="HP56" s="36"/>
      <c r="HQ56" s="36"/>
      <c r="HR56" s="36"/>
      <c r="HS56" s="36"/>
      <c r="HT56" s="37"/>
      <c r="HU56" s="35">
        <v>0</v>
      </c>
      <c r="HV56" s="36"/>
      <c r="HW56" s="36"/>
      <c r="HX56" s="36"/>
      <c r="HY56" s="36"/>
      <c r="HZ56" s="36"/>
      <c r="IA56" s="36"/>
      <c r="IB56" s="36"/>
      <c r="IC56" s="36"/>
      <c r="ID56" s="37"/>
      <c r="IE56" s="35">
        <f t="shared" si="0"/>
        <v>0.025109239231161134</v>
      </c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42"/>
    </row>
    <row r="57" spans="1:250" s="2" customFormat="1" ht="45" customHeight="1">
      <c r="A57" s="26" t="s">
        <v>170</v>
      </c>
      <c r="B57" s="27"/>
      <c r="C57" s="27"/>
      <c r="D57" s="27"/>
      <c r="E57" s="28"/>
      <c r="F57" s="23" t="s">
        <v>89</v>
      </c>
      <c r="G57" s="24" t="s">
        <v>89</v>
      </c>
      <c r="H57" s="24" t="s">
        <v>89</v>
      </c>
      <c r="I57" s="24" t="s">
        <v>89</v>
      </c>
      <c r="J57" s="24" t="s">
        <v>89</v>
      </c>
      <c r="K57" s="24" t="s">
        <v>89</v>
      </c>
      <c r="L57" s="24" t="s">
        <v>89</v>
      </c>
      <c r="M57" s="24" t="s">
        <v>89</v>
      </c>
      <c r="N57" s="24" t="s">
        <v>89</v>
      </c>
      <c r="O57" s="24" t="s">
        <v>89</v>
      </c>
      <c r="P57" s="24" t="s">
        <v>89</v>
      </c>
      <c r="Q57" s="24" t="s">
        <v>89</v>
      </c>
      <c r="R57" s="24" t="s">
        <v>89</v>
      </c>
      <c r="S57" s="24" t="s">
        <v>89</v>
      </c>
      <c r="T57" s="24" t="s">
        <v>89</v>
      </c>
      <c r="U57" s="24" t="s">
        <v>89</v>
      </c>
      <c r="V57" s="24" t="s">
        <v>89</v>
      </c>
      <c r="W57" s="24" t="s">
        <v>89</v>
      </c>
      <c r="X57" s="24" t="s">
        <v>89</v>
      </c>
      <c r="Y57" s="24" t="s">
        <v>89</v>
      </c>
      <c r="Z57" s="24" t="s">
        <v>89</v>
      </c>
      <c r="AA57" s="24" t="s">
        <v>89</v>
      </c>
      <c r="AB57" s="24" t="s">
        <v>89</v>
      </c>
      <c r="AC57" s="24" t="s">
        <v>89</v>
      </c>
      <c r="AD57" s="24" t="s">
        <v>89</v>
      </c>
      <c r="AE57" s="25" t="s">
        <v>89</v>
      </c>
      <c r="AF57" s="16"/>
      <c r="AG57" s="17"/>
      <c r="AH57" s="17"/>
      <c r="AI57" s="17"/>
      <c r="AJ57" s="17"/>
      <c r="AK57" s="17"/>
      <c r="AL57" s="17"/>
      <c r="AM57" s="17"/>
      <c r="AN57" s="17"/>
      <c r="AO57" s="18"/>
      <c r="AP57" s="16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8"/>
      <c r="BG57" s="29">
        <v>42016</v>
      </c>
      <c r="BH57" s="30"/>
      <c r="BI57" s="30"/>
      <c r="BJ57" s="30"/>
      <c r="BK57" s="30"/>
      <c r="BL57" s="30"/>
      <c r="BM57" s="30"/>
      <c r="BN57" s="30"/>
      <c r="BO57" s="30"/>
      <c r="BP57" s="31"/>
      <c r="BQ57" s="29">
        <v>42016</v>
      </c>
      <c r="BR57" s="30"/>
      <c r="BS57" s="30"/>
      <c r="BT57" s="30"/>
      <c r="BU57" s="30"/>
      <c r="BV57" s="30"/>
      <c r="BW57" s="30"/>
      <c r="BX57" s="30"/>
      <c r="BY57" s="30"/>
      <c r="BZ57" s="31"/>
      <c r="CA57" s="35">
        <f>CO57</f>
        <v>0.2647993683170278</v>
      </c>
      <c r="CB57" s="36">
        <v>2182.7639999999997</v>
      </c>
      <c r="CC57" s="36">
        <v>2182.7639999999997</v>
      </c>
      <c r="CD57" s="36">
        <v>2182.7639999999997</v>
      </c>
      <c r="CE57" s="36">
        <v>2182.7639999999997</v>
      </c>
      <c r="CF57" s="36">
        <v>2182.7639999999997</v>
      </c>
      <c r="CG57" s="36">
        <v>2182.7639999999997</v>
      </c>
      <c r="CH57" s="36">
        <v>2182.7639999999997</v>
      </c>
      <c r="CI57" s="36">
        <v>2182.7639999999997</v>
      </c>
      <c r="CJ57" s="36">
        <v>2182.7639999999997</v>
      </c>
      <c r="CK57" s="36">
        <v>2182.7639999999997</v>
      </c>
      <c r="CL57" s="36">
        <v>2182.7639999999997</v>
      </c>
      <c r="CM57" s="36">
        <v>2182.7639999999997</v>
      </c>
      <c r="CN57" s="37">
        <v>2182.7639999999997</v>
      </c>
      <c r="CO57" s="35">
        <f t="shared" si="5"/>
        <v>0.2647993683170278</v>
      </c>
      <c r="CP57" s="36" t="e">
        <f t="shared" si="6"/>
        <v>#VALUE!</v>
      </c>
      <c r="CQ57" s="36" t="e">
        <f t="shared" si="7"/>
        <v>#VALUE!</v>
      </c>
      <c r="CR57" s="36" t="e">
        <f t="shared" si="8"/>
        <v>#VALUE!</v>
      </c>
      <c r="CS57" s="36" t="e">
        <f t="shared" si="9"/>
        <v>#VALUE!</v>
      </c>
      <c r="CT57" s="36" t="e">
        <f t="shared" si="10"/>
        <v>#VALUE!</v>
      </c>
      <c r="CU57" s="36" t="e">
        <f t="shared" si="11"/>
        <v>#VALUE!</v>
      </c>
      <c r="CV57" s="36" t="e">
        <f t="shared" si="12"/>
        <v>#VALUE!</v>
      </c>
      <c r="CW57" s="36" t="e">
        <f t="shared" si="13"/>
        <v>#VALUE!</v>
      </c>
      <c r="CX57" s="36" t="e">
        <f t="shared" si="14"/>
        <v>#VALUE!</v>
      </c>
      <c r="CY57" s="36" t="e">
        <f t="shared" si="15"/>
        <v>#VALUE!</v>
      </c>
      <c r="CZ57" s="36" t="e">
        <f t="shared" si="16"/>
        <v>#VALUE!</v>
      </c>
      <c r="DA57" s="36" t="e">
        <f t="shared" si="17"/>
        <v>#VALUE!</v>
      </c>
      <c r="DB57" s="37" t="e">
        <f t="shared" si="18"/>
        <v>#VALUE!</v>
      </c>
      <c r="DC57" s="35">
        <f t="shared" si="19"/>
        <v>0.2647993683170278</v>
      </c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7"/>
      <c r="DQ57" s="16" t="s">
        <v>43</v>
      </c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8"/>
      <c r="EH57" s="16" t="s">
        <v>43</v>
      </c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8"/>
      <c r="EY57" s="16" t="s">
        <v>43</v>
      </c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8"/>
      <c r="FP57" s="16" t="s">
        <v>43</v>
      </c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8"/>
      <c r="GG57" s="35">
        <f>2.183*0.121300672614305</f>
        <v>0.2647993683170278</v>
      </c>
      <c r="GH57" s="36"/>
      <c r="GI57" s="36"/>
      <c r="GJ57" s="36"/>
      <c r="GK57" s="36"/>
      <c r="GL57" s="36"/>
      <c r="GM57" s="36"/>
      <c r="GN57" s="36"/>
      <c r="GO57" s="36"/>
      <c r="GP57" s="37"/>
      <c r="GQ57" s="35">
        <v>0</v>
      </c>
      <c r="GR57" s="36"/>
      <c r="GS57" s="36"/>
      <c r="GT57" s="36"/>
      <c r="GU57" s="36"/>
      <c r="GV57" s="36"/>
      <c r="GW57" s="36"/>
      <c r="GX57" s="36"/>
      <c r="GY57" s="36"/>
      <c r="GZ57" s="37"/>
      <c r="HA57" s="35">
        <v>0</v>
      </c>
      <c r="HB57" s="36"/>
      <c r="HC57" s="36"/>
      <c r="HD57" s="36"/>
      <c r="HE57" s="36"/>
      <c r="HF57" s="36"/>
      <c r="HG57" s="36"/>
      <c r="HH57" s="36"/>
      <c r="HI57" s="36"/>
      <c r="HJ57" s="37"/>
      <c r="HK57" s="35">
        <v>0</v>
      </c>
      <c r="HL57" s="36"/>
      <c r="HM57" s="36"/>
      <c r="HN57" s="36"/>
      <c r="HO57" s="36"/>
      <c r="HP57" s="36"/>
      <c r="HQ57" s="36"/>
      <c r="HR57" s="36"/>
      <c r="HS57" s="36"/>
      <c r="HT57" s="37"/>
      <c r="HU57" s="35">
        <v>0</v>
      </c>
      <c r="HV57" s="36"/>
      <c r="HW57" s="36"/>
      <c r="HX57" s="36"/>
      <c r="HY57" s="36"/>
      <c r="HZ57" s="36"/>
      <c r="IA57" s="36"/>
      <c r="IB57" s="36"/>
      <c r="IC57" s="36"/>
      <c r="ID57" s="37"/>
      <c r="IE57" s="35">
        <f t="shared" si="0"/>
        <v>0.2647993683170278</v>
      </c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42"/>
    </row>
    <row r="58" spans="1:250" ht="35.25" customHeight="1">
      <c r="A58" s="26" t="s">
        <v>171</v>
      </c>
      <c r="B58" s="27"/>
      <c r="C58" s="27"/>
      <c r="D58" s="27"/>
      <c r="E58" s="28"/>
      <c r="F58" s="23" t="s">
        <v>90</v>
      </c>
      <c r="G58" s="24" t="s">
        <v>90</v>
      </c>
      <c r="H58" s="24" t="s">
        <v>90</v>
      </c>
      <c r="I58" s="24" t="s">
        <v>90</v>
      </c>
      <c r="J58" s="24" t="s">
        <v>90</v>
      </c>
      <c r="K58" s="24" t="s">
        <v>90</v>
      </c>
      <c r="L58" s="24" t="s">
        <v>90</v>
      </c>
      <c r="M58" s="24" t="s">
        <v>90</v>
      </c>
      <c r="N58" s="24" t="s">
        <v>90</v>
      </c>
      <c r="O58" s="24" t="s">
        <v>90</v>
      </c>
      <c r="P58" s="24" t="s">
        <v>90</v>
      </c>
      <c r="Q58" s="24" t="s">
        <v>90</v>
      </c>
      <c r="R58" s="24" t="s">
        <v>90</v>
      </c>
      <c r="S58" s="24" t="s">
        <v>90</v>
      </c>
      <c r="T58" s="24" t="s">
        <v>90</v>
      </c>
      <c r="U58" s="24" t="s">
        <v>90</v>
      </c>
      <c r="V58" s="24" t="s">
        <v>90</v>
      </c>
      <c r="W58" s="24" t="s">
        <v>90</v>
      </c>
      <c r="X58" s="24" t="s">
        <v>90</v>
      </c>
      <c r="Y58" s="24" t="s">
        <v>90</v>
      </c>
      <c r="Z58" s="24" t="s">
        <v>90</v>
      </c>
      <c r="AA58" s="24" t="s">
        <v>90</v>
      </c>
      <c r="AB58" s="24" t="s">
        <v>90</v>
      </c>
      <c r="AC58" s="24" t="s">
        <v>90</v>
      </c>
      <c r="AD58" s="24" t="s">
        <v>90</v>
      </c>
      <c r="AE58" s="25" t="s">
        <v>90</v>
      </c>
      <c r="AF58" s="16"/>
      <c r="AG58" s="17"/>
      <c r="AH58" s="17"/>
      <c r="AI58" s="17"/>
      <c r="AJ58" s="17"/>
      <c r="AK58" s="17"/>
      <c r="AL58" s="17"/>
      <c r="AM58" s="17"/>
      <c r="AN58" s="17"/>
      <c r="AO58" s="18"/>
      <c r="AP58" s="16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8"/>
      <c r="BG58" s="29">
        <v>12017</v>
      </c>
      <c r="BH58" s="30"/>
      <c r="BI58" s="30"/>
      <c r="BJ58" s="30"/>
      <c r="BK58" s="30"/>
      <c r="BL58" s="30"/>
      <c r="BM58" s="30"/>
      <c r="BN58" s="30"/>
      <c r="BO58" s="30"/>
      <c r="BP58" s="31"/>
      <c r="BQ58" s="29">
        <v>42017</v>
      </c>
      <c r="BR58" s="30"/>
      <c r="BS58" s="30"/>
      <c r="BT58" s="30"/>
      <c r="BU58" s="30"/>
      <c r="BV58" s="30"/>
      <c r="BW58" s="30"/>
      <c r="BX58" s="30"/>
      <c r="BY58" s="30"/>
      <c r="BZ58" s="31"/>
      <c r="CA58" s="35">
        <f>CO58</f>
        <v>0.32386029200828237</v>
      </c>
      <c r="CB58" s="36">
        <v>728.5792</v>
      </c>
      <c r="CC58" s="36">
        <v>728.5792</v>
      </c>
      <c r="CD58" s="36">
        <v>728.5792</v>
      </c>
      <c r="CE58" s="36">
        <v>728.5792</v>
      </c>
      <c r="CF58" s="36">
        <v>728.5792</v>
      </c>
      <c r="CG58" s="36">
        <v>728.5792</v>
      </c>
      <c r="CH58" s="36">
        <v>728.5792</v>
      </c>
      <c r="CI58" s="36">
        <v>728.5792</v>
      </c>
      <c r="CJ58" s="36">
        <v>728.5792</v>
      </c>
      <c r="CK58" s="36">
        <v>728.5792</v>
      </c>
      <c r="CL58" s="36">
        <v>728.5792</v>
      </c>
      <c r="CM58" s="36">
        <v>728.5792</v>
      </c>
      <c r="CN58" s="37">
        <v>728.5792</v>
      </c>
      <c r="CO58" s="35">
        <f t="shared" si="5"/>
        <v>0.32386029200828237</v>
      </c>
      <c r="CP58" s="36" t="e">
        <f t="shared" si="6"/>
        <v>#VALUE!</v>
      </c>
      <c r="CQ58" s="36" t="e">
        <f t="shared" si="7"/>
        <v>#VALUE!</v>
      </c>
      <c r="CR58" s="36" t="e">
        <f t="shared" si="8"/>
        <v>#VALUE!</v>
      </c>
      <c r="CS58" s="36" t="e">
        <f t="shared" si="9"/>
        <v>#VALUE!</v>
      </c>
      <c r="CT58" s="36" t="e">
        <f t="shared" si="10"/>
        <v>#VALUE!</v>
      </c>
      <c r="CU58" s="36" t="e">
        <f t="shared" si="11"/>
        <v>#VALUE!</v>
      </c>
      <c r="CV58" s="36" t="e">
        <f t="shared" si="12"/>
        <v>#VALUE!</v>
      </c>
      <c r="CW58" s="36" t="e">
        <f t="shared" si="13"/>
        <v>#VALUE!</v>
      </c>
      <c r="CX58" s="36" t="e">
        <f t="shared" si="14"/>
        <v>#VALUE!</v>
      </c>
      <c r="CY58" s="36" t="e">
        <f t="shared" si="15"/>
        <v>#VALUE!</v>
      </c>
      <c r="CZ58" s="36" t="e">
        <f t="shared" si="16"/>
        <v>#VALUE!</v>
      </c>
      <c r="DA58" s="36" t="e">
        <f t="shared" si="17"/>
        <v>#VALUE!</v>
      </c>
      <c r="DB58" s="37" t="e">
        <f t="shared" si="18"/>
        <v>#VALUE!</v>
      </c>
      <c r="DC58" s="35">
        <f t="shared" si="19"/>
        <v>0</v>
      </c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7"/>
      <c r="DQ58" s="16" t="s">
        <v>43</v>
      </c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8"/>
      <c r="EH58" s="16" t="s">
        <v>43</v>
      </c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8"/>
      <c r="EY58" s="16" t="s">
        <v>43</v>
      </c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8"/>
      <c r="FP58" s="16" t="s">
        <v>43</v>
      </c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8"/>
      <c r="GG58" s="35">
        <v>0</v>
      </c>
      <c r="GH58" s="36"/>
      <c r="GI58" s="36"/>
      <c r="GJ58" s="36"/>
      <c r="GK58" s="36"/>
      <c r="GL58" s="36"/>
      <c r="GM58" s="36"/>
      <c r="GN58" s="36"/>
      <c r="GO58" s="36"/>
      <c r="GP58" s="37"/>
      <c r="GQ58" s="35">
        <f>0.729*0.444252801108755</f>
        <v>0.32386029200828237</v>
      </c>
      <c r="GR58" s="36"/>
      <c r="GS58" s="36"/>
      <c r="GT58" s="36"/>
      <c r="GU58" s="36"/>
      <c r="GV58" s="36"/>
      <c r="GW58" s="36"/>
      <c r="GX58" s="36"/>
      <c r="GY58" s="36"/>
      <c r="GZ58" s="37"/>
      <c r="HA58" s="35">
        <v>0</v>
      </c>
      <c r="HB58" s="36"/>
      <c r="HC58" s="36"/>
      <c r="HD58" s="36"/>
      <c r="HE58" s="36"/>
      <c r="HF58" s="36"/>
      <c r="HG58" s="36"/>
      <c r="HH58" s="36"/>
      <c r="HI58" s="36"/>
      <c r="HJ58" s="37"/>
      <c r="HK58" s="35">
        <v>0</v>
      </c>
      <c r="HL58" s="36"/>
      <c r="HM58" s="36"/>
      <c r="HN58" s="36"/>
      <c r="HO58" s="36"/>
      <c r="HP58" s="36"/>
      <c r="HQ58" s="36"/>
      <c r="HR58" s="36"/>
      <c r="HS58" s="36"/>
      <c r="HT58" s="37"/>
      <c r="HU58" s="35">
        <v>0</v>
      </c>
      <c r="HV58" s="36"/>
      <c r="HW58" s="36"/>
      <c r="HX58" s="36"/>
      <c r="HY58" s="36"/>
      <c r="HZ58" s="36"/>
      <c r="IA58" s="36"/>
      <c r="IB58" s="36"/>
      <c r="IC58" s="36"/>
      <c r="ID58" s="37"/>
      <c r="IE58" s="35">
        <f t="shared" si="0"/>
        <v>0.32386029200828237</v>
      </c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42"/>
    </row>
    <row r="59" spans="1:250" ht="34.5" customHeight="1">
      <c r="A59" s="26" t="s">
        <v>172</v>
      </c>
      <c r="B59" s="27"/>
      <c r="C59" s="27"/>
      <c r="D59" s="27"/>
      <c r="E59" s="28"/>
      <c r="F59" s="23" t="s">
        <v>91</v>
      </c>
      <c r="G59" s="24" t="s">
        <v>91</v>
      </c>
      <c r="H59" s="24" t="s">
        <v>91</v>
      </c>
      <c r="I59" s="24" t="s">
        <v>91</v>
      </c>
      <c r="J59" s="24" t="s">
        <v>91</v>
      </c>
      <c r="K59" s="24" t="s">
        <v>91</v>
      </c>
      <c r="L59" s="24" t="s">
        <v>91</v>
      </c>
      <c r="M59" s="24" t="s">
        <v>91</v>
      </c>
      <c r="N59" s="24" t="s">
        <v>91</v>
      </c>
      <c r="O59" s="24" t="s">
        <v>91</v>
      </c>
      <c r="P59" s="24" t="s">
        <v>91</v>
      </c>
      <c r="Q59" s="24" t="s">
        <v>91</v>
      </c>
      <c r="R59" s="24" t="s">
        <v>91</v>
      </c>
      <c r="S59" s="24" t="s">
        <v>91</v>
      </c>
      <c r="T59" s="24" t="s">
        <v>91</v>
      </c>
      <c r="U59" s="24" t="s">
        <v>91</v>
      </c>
      <c r="V59" s="24" t="s">
        <v>91</v>
      </c>
      <c r="W59" s="24" t="s">
        <v>91</v>
      </c>
      <c r="X59" s="24" t="s">
        <v>91</v>
      </c>
      <c r="Y59" s="24" t="s">
        <v>91</v>
      </c>
      <c r="Z59" s="24" t="s">
        <v>91</v>
      </c>
      <c r="AA59" s="24" t="s">
        <v>91</v>
      </c>
      <c r="AB59" s="24" t="s">
        <v>91</v>
      </c>
      <c r="AC59" s="24" t="s">
        <v>91</v>
      </c>
      <c r="AD59" s="24" t="s">
        <v>91</v>
      </c>
      <c r="AE59" s="25" t="s">
        <v>91</v>
      </c>
      <c r="AF59" s="16"/>
      <c r="AG59" s="17"/>
      <c r="AH59" s="17"/>
      <c r="AI59" s="17"/>
      <c r="AJ59" s="17"/>
      <c r="AK59" s="17"/>
      <c r="AL59" s="17"/>
      <c r="AM59" s="17"/>
      <c r="AN59" s="17"/>
      <c r="AO59" s="18"/>
      <c r="AP59" s="16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8"/>
      <c r="BG59" s="29">
        <v>12017</v>
      </c>
      <c r="BH59" s="30"/>
      <c r="BI59" s="30"/>
      <c r="BJ59" s="30"/>
      <c r="BK59" s="30"/>
      <c r="BL59" s="30"/>
      <c r="BM59" s="30"/>
      <c r="BN59" s="30"/>
      <c r="BO59" s="30"/>
      <c r="BP59" s="31"/>
      <c r="BQ59" s="29">
        <v>42017</v>
      </c>
      <c r="BR59" s="30"/>
      <c r="BS59" s="30"/>
      <c r="BT59" s="30"/>
      <c r="BU59" s="30"/>
      <c r="BV59" s="30"/>
      <c r="BW59" s="30"/>
      <c r="BX59" s="30"/>
      <c r="BY59" s="30"/>
      <c r="BZ59" s="31"/>
      <c r="CA59" s="35">
        <f>CO59</f>
        <v>0.4047143018100758</v>
      </c>
      <c r="CB59" s="36">
        <v>910.7239999999999</v>
      </c>
      <c r="CC59" s="36">
        <v>910.7239999999999</v>
      </c>
      <c r="CD59" s="36">
        <v>910.7239999999999</v>
      </c>
      <c r="CE59" s="36">
        <v>910.7239999999999</v>
      </c>
      <c r="CF59" s="36">
        <v>910.7239999999999</v>
      </c>
      <c r="CG59" s="36">
        <v>910.7239999999999</v>
      </c>
      <c r="CH59" s="36">
        <v>910.7239999999999</v>
      </c>
      <c r="CI59" s="36">
        <v>910.7239999999999</v>
      </c>
      <c r="CJ59" s="36">
        <v>910.7239999999999</v>
      </c>
      <c r="CK59" s="36">
        <v>910.7239999999999</v>
      </c>
      <c r="CL59" s="36">
        <v>910.7239999999999</v>
      </c>
      <c r="CM59" s="36">
        <v>910.7239999999999</v>
      </c>
      <c r="CN59" s="37">
        <v>910.7239999999999</v>
      </c>
      <c r="CO59" s="35">
        <f t="shared" si="5"/>
        <v>0.4047143018100758</v>
      </c>
      <c r="CP59" s="36" t="e">
        <f t="shared" si="6"/>
        <v>#VALUE!</v>
      </c>
      <c r="CQ59" s="36" t="e">
        <f t="shared" si="7"/>
        <v>#VALUE!</v>
      </c>
      <c r="CR59" s="36" t="e">
        <f t="shared" si="8"/>
        <v>#VALUE!</v>
      </c>
      <c r="CS59" s="36" t="e">
        <f t="shared" si="9"/>
        <v>#VALUE!</v>
      </c>
      <c r="CT59" s="36" t="e">
        <f t="shared" si="10"/>
        <v>#VALUE!</v>
      </c>
      <c r="CU59" s="36" t="e">
        <f t="shared" si="11"/>
        <v>#VALUE!</v>
      </c>
      <c r="CV59" s="36" t="e">
        <f t="shared" si="12"/>
        <v>#VALUE!</v>
      </c>
      <c r="CW59" s="36" t="e">
        <f t="shared" si="13"/>
        <v>#VALUE!</v>
      </c>
      <c r="CX59" s="36" t="e">
        <f t="shared" si="14"/>
        <v>#VALUE!</v>
      </c>
      <c r="CY59" s="36" t="e">
        <f t="shared" si="15"/>
        <v>#VALUE!</v>
      </c>
      <c r="CZ59" s="36" t="e">
        <f t="shared" si="16"/>
        <v>#VALUE!</v>
      </c>
      <c r="DA59" s="36" t="e">
        <f t="shared" si="17"/>
        <v>#VALUE!</v>
      </c>
      <c r="DB59" s="37" t="e">
        <f t="shared" si="18"/>
        <v>#VALUE!</v>
      </c>
      <c r="DC59" s="35">
        <f t="shared" si="19"/>
        <v>0</v>
      </c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7"/>
      <c r="DQ59" s="16" t="s">
        <v>43</v>
      </c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8"/>
      <c r="EH59" s="16" t="s">
        <v>43</v>
      </c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8"/>
      <c r="EY59" s="16" t="s">
        <v>43</v>
      </c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8"/>
      <c r="FP59" s="16" t="s">
        <v>43</v>
      </c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8"/>
      <c r="GG59" s="35">
        <v>0</v>
      </c>
      <c r="GH59" s="36"/>
      <c r="GI59" s="36"/>
      <c r="GJ59" s="36"/>
      <c r="GK59" s="36"/>
      <c r="GL59" s="36"/>
      <c r="GM59" s="36"/>
      <c r="GN59" s="36"/>
      <c r="GO59" s="36"/>
      <c r="GP59" s="37"/>
      <c r="GQ59" s="35">
        <f>0.911*0.444252801108755</f>
        <v>0.4047143018100758</v>
      </c>
      <c r="GR59" s="36"/>
      <c r="GS59" s="36"/>
      <c r="GT59" s="36"/>
      <c r="GU59" s="36"/>
      <c r="GV59" s="36"/>
      <c r="GW59" s="36"/>
      <c r="GX59" s="36"/>
      <c r="GY59" s="36"/>
      <c r="GZ59" s="37"/>
      <c r="HA59" s="35">
        <v>0</v>
      </c>
      <c r="HB59" s="36"/>
      <c r="HC59" s="36"/>
      <c r="HD59" s="36"/>
      <c r="HE59" s="36"/>
      <c r="HF59" s="36"/>
      <c r="HG59" s="36"/>
      <c r="HH59" s="36"/>
      <c r="HI59" s="36"/>
      <c r="HJ59" s="37"/>
      <c r="HK59" s="35">
        <v>0</v>
      </c>
      <c r="HL59" s="36"/>
      <c r="HM59" s="36"/>
      <c r="HN59" s="36"/>
      <c r="HO59" s="36"/>
      <c r="HP59" s="36"/>
      <c r="HQ59" s="36"/>
      <c r="HR59" s="36"/>
      <c r="HS59" s="36"/>
      <c r="HT59" s="37"/>
      <c r="HU59" s="35">
        <v>0</v>
      </c>
      <c r="HV59" s="36"/>
      <c r="HW59" s="36"/>
      <c r="HX59" s="36"/>
      <c r="HY59" s="36"/>
      <c r="HZ59" s="36"/>
      <c r="IA59" s="36"/>
      <c r="IB59" s="36"/>
      <c r="IC59" s="36"/>
      <c r="ID59" s="37"/>
      <c r="IE59" s="35">
        <f t="shared" si="0"/>
        <v>0.4047143018100758</v>
      </c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42"/>
    </row>
    <row r="60" spans="1:250" ht="41.25" customHeight="1">
      <c r="A60" s="26" t="s">
        <v>173</v>
      </c>
      <c r="B60" s="27"/>
      <c r="C60" s="27"/>
      <c r="D60" s="27"/>
      <c r="E60" s="28"/>
      <c r="F60" s="23" t="s">
        <v>92</v>
      </c>
      <c r="G60" s="24" t="s">
        <v>92</v>
      </c>
      <c r="H60" s="24" t="s">
        <v>92</v>
      </c>
      <c r="I60" s="24" t="s">
        <v>92</v>
      </c>
      <c r="J60" s="24" t="s">
        <v>92</v>
      </c>
      <c r="K60" s="24" t="s">
        <v>92</v>
      </c>
      <c r="L60" s="24" t="s">
        <v>92</v>
      </c>
      <c r="M60" s="24" t="s">
        <v>92</v>
      </c>
      <c r="N60" s="24" t="s">
        <v>92</v>
      </c>
      <c r="O60" s="24" t="s">
        <v>92</v>
      </c>
      <c r="P60" s="24" t="s">
        <v>92</v>
      </c>
      <c r="Q60" s="24" t="s">
        <v>92</v>
      </c>
      <c r="R60" s="24" t="s">
        <v>92</v>
      </c>
      <c r="S60" s="24" t="s">
        <v>92</v>
      </c>
      <c r="T60" s="24" t="s">
        <v>92</v>
      </c>
      <c r="U60" s="24" t="s">
        <v>92</v>
      </c>
      <c r="V60" s="24" t="s">
        <v>92</v>
      </c>
      <c r="W60" s="24" t="s">
        <v>92</v>
      </c>
      <c r="X60" s="24" t="s">
        <v>92</v>
      </c>
      <c r="Y60" s="24" t="s">
        <v>92</v>
      </c>
      <c r="Z60" s="24" t="s">
        <v>92</v>
      </c>
      <c r="AA60" s="24" t="s">
        <v>92</v>
      </c>
      <c r="AB60" s="24" t="s">
        <v>92</v>
      </c>
      <c r="AC60" s="24" t="s">
        <v>92</v>
      </c>
      <c r="AD60" s="24" t="s">
        <v>92</v>
      </c>
      <c r="AE60" s="25" t="s">
        <v>92</v>
      </c>
      <c r="AF60" s="16"/>
      <c r="AG60" s="17"/>
      <c r="AH60" s="17"/>
      <c r="AI60" s="17"/>
      <c r="AJ60" s="17"/>
      <c r="AK60" s="17"/>
      <c r="AL60" s="17"/>
      <c r="AM60" s="17"/>
      <c r="AN60" s="17"/>
      <c r="AO60" s="18"/>
      <c r="AP60" s="16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8"/>
      <c r="BG60" s="29">
        <v>12018</v>
      </c>
      <c r="BH60" s="30"/>
      <c r="BI60" s="30"/>
      <c r="BJ60" s="30"/>
      <c r="BK60" s="30"/>
      <c r="BL60" s="30"/>
      <c r="BM60" s="30"/>
      <c r="BN60" s="30"/>
      <c r="BO60" s="30"/>
      <c r="BP60" s="31"/>
      <c r="BQ60" s="29">
        <v>42018</v>
      </c>
      <c r="BR60" s="30"/>
      <c r="BS60" s="30"/>
      <c r="BT60" s="30"/>
      <c r="BU60" s="30"/>
      <c r="BV60" s="30"/>
      <c r="BW60" s="30"/>
      <c r="BX60" s="30"/>
      <c r="BY60" s="30"/>
      <c r="BZ60" s="31"/>
      <c r="CA60" s="35">
        <f>CO60</f>
        <v>2.159</v>
      </c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7"/>
      <c r="CO60" s="35">
        <f t="shared" si="5"/>
        <v>2.159</v>
      </c>
      <c r="CP60" s="36" t="e">
        <f t="shared" si="6"/>
        <v>#VALUE!</v>
      </c>
      <c r="CQ60" s="36" t="e">
        <f t="shared" si="7"/>
        <v>#VALUE!</v>
      </c>
      <c r="CR60" s="36" t="e">
        <f t="shared" si="8"/>
        <v>#VALUE!</v>
      </c>
      <c r="CS60" s="36" t="e">
        <f t="shared" si="9"/>
        <v>#VALUE!</v>
      </c>
      <c r="CT60" s="36" t="e">
        <f t="shared" si="10"/>
        <v>#VALUE!</v>
      </c>
      <c r="CU60" s="36" t="e">
        <f t="shared" si="11"/>
        <v>#VALUE!</v>
      </c>
      <c r="CV60" s="36" t="e">
        <f t="shared" si="12"/>
        <v>#VALUE!</v>
      </c>
      <c r="CW60" s="36" t="e">
        <f t="shared" si="13"/>
        <v>#VALUE!</v>
      </c>
      <c r="CX60" s="36" t="e">
        <f t="shared" si="14"/>
        <v>#VALUE!</v>
      </c>
      <c r="CY60" s="36" t="e">
        <f t="shared" si="15"/>
        <v>#VALUE!</v>
      </c>
      <c r="CZ60" s="36" t="e">
        <f t="shared" si="16"/>
        <v>#VALUE!</v>
      </c>
      <c r="DA60" s="36" t="e">
        <f t="shared" si="17"/>
        <v>#VALUE!</v>
      </c>
      <c r="DB60" s="37" t="e">
        <f t="shared" si="18"/>
        <v>#VALUE!</v>
      </c>
      <c r="DC60" s="35">
        <f t="shared" si="19"/>
        <v>0</v>
      </c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7"/>
      <c r="DQ60" s="16" t="s">
        <v>43</v>
      </c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8"/>
      <c r="EH60" s="16" t="s">
        <v>43</v>
      </c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8"/>
      <c r="EY60" s="16" t="s">
        <v>43</v>
      </c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8"/>
      <c r="FP60" s="16" t="s">
        <v>43</v>
      </c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8"/>
      <c r="GG60" s="35">
        <v>0</v>
      </c>
      <c r="GH60" s="36"/>
      <c r="GI60" s="36"/>
      <c r="GJ60" s="36"/>
      <c r="GK60" s="36"/>
      <c r="GL60" s="36"/>
      <c r="GM60" s="36"/>
      <c r="GN60" s="36"/>
      <c r="GO60" s="36"/>
      <c r="GP60" s="37"/>
      <c r="GQ60" s="35">
        <v>0</v>
      </c>
      <c r="GR60" s="36"/>
      <c r="GS60" s="36"/>
      <c r="GT60" s="36"/>
      <c r="GU60" s="36"/>
      <c r="GV60" s="36"/>
      <c r="GW60" s="36"/>
      <c r="GX60" s="36"/>
      <c r="GY60" s="36"/>
      <c r="GZ60" s="37"/>
      <c r="HA60" s="35">
        <v>2.159</v>
      </c>
      <c r="HB60" s="36"/>
      <c r="HC60" s="36"/>
      <c r="HD60" s="36"/>
      <c r="HE60" s="36"/>
      <c r="HF60" s="36"/>
      <c r="HG60" s="36"/>
      <c r="HH60" s="36"/>
      <c r="HI60" s="36"/>
      <c r="HJ60" s="37"/>
      <c r="HK60" s="35">
        <v>0</v>
      </c>
      <c r="HL60" s="36"/>
      <c r="HM60" s="36"/>
      <c r="HN60" s="36"/>
      <c r="HO60" s="36"/>
      <c r="HP60" s="36"/>
      <c r="HQ60" s="36"/>
      <c r="HR60" s="36"/>
      <c r="HS60" s="36"/>
      <c r="HT60" s="37"/>
      <c r="HU60" s="35">
        <v>0</v>
      </c>
      <c r="HV60" s="36"/>
      <c r="HW60" s="36"/>
      <c r="HX60" s="36"/>
      <c r="HY60" s="36"/>
      <c r="HZ60" s="36"/>
      <c r="IA60" s="36"/>
      <c r="IB60" s="36"/>
      <c r="IC60" s="36"/>
      <c r="ID60" s="37"/>
      <c r="IE60" s="35">
        <f t="shared" si="0"/>
        <v>2.159</v>
      </c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42"/>
    </row>
    <row r="61" spans="1:250" ht="54.75" customHeight="1">
      <c r="A61" s="26" t="s">
        <v>174</v>
      </c>
      <c r="B61" s="27"/>
      <c r="C61" s="27"/>
      <c r="D61" s="27"/>
      <c r="E61" s="28"/>
      <c r="F61" s="23" t="s">
        <v>93</v>
      </c>
      <c r="G61" s="24" t="s">
        <v>93</v>
      </c>
      <c r="H61" s="24" t="s">
        <v>93</v>
      </c>
      <c r="I61" s="24" t="s">
        <v>93</v>
      </c>
      <c r="J61" s="24" t="s">
        <v>93</v>
      </c>
      <c r="K61" s="24" t="s">
        <v>93</v>
      </c>
      <c r="L61" s="24" t="s">
        <v>93</v>
      </c>
      <c r="M61" s="24" t="s">
        <v>93</v>
      </c>
      <c r="N61" s="24" t="s">
        <v>93</v>
      </c>
      <c r="O61" s="24" t="s">
        <v>93</v>
      </c>
      <c r="P61" s="24" t="s">
        <v>93</v>
      </c>
      <c r="Q61" s="24" t="s">
        <v>93</v>
      </c>
      <c r="R61" s="24" t="s">
        <v>93</v>
      </c>
      <c r="S61" s="24" t="s">
        <v>93</v>
      </c>
      <c r="T61" s="24" t="s">
        <v>93</v>
      </c>
      <c r="U61" s="24" t="s">
        <v>93</v>
      </c>
      <c r="V61" s="24" t="s">
        <v>93</v>
      </c>
      <c r="W61" s="24" t="s">
        <v>93</v>
      </c>
      <c r="X61" s="24" t="s">
        <v>93</v>
      </c>
      <c r="Y61" s="24" t="s">
        <v>93</v>
      </c>
      <c r="Z61" s="24" t="s">
        <v>93</v>
      </c>
      <c r="AA61" s="24" t="s">
        <v>93</v>
      </c>
      <c r="AB61" s="24" t="s">
        <v>93</v>
      </c>
      <c r="AC61" s="24" t="s">
        <v>93</v>
      </c>
      <c r="AD61" s="24" t="s">
        <v>93</v>
      </c>
      <c r="AE61" s="25" t="s">
        <v>93</v>
      </c>
      <c r="AF61" s="16"/>
      <c r="AG61" s="17"/>
      <c r="AH61" s="17"/>
      <c r="AI61" s="17"/>
      <c r="AJ61" s="17"/>
      <c r="AK61" s="17"/>
      <c r="AL61" s="17"/>
      <c r="AM61" s="17"/>
      <c r="AN61" s="17"/>
      <c r="AO61" s="18"/>
      <c r="AP61" s="16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8"/>
      <c r="BG61" s="29">
        <v>12018</v>
      </c>
      <c r="BH61" s="30"/>
      <c r="BI61" s="30"/>
      <c r="BJ61" s="30"/>
      <c r="BK61" s="30"/>
      <c r="BL61" s="30"/>
      <c r="BM61" s="30"/>
      <c r="BN61" s="30"/>
      <c r="BO61" s="30"/>
      <c r="BP61" s="31"/>
      <c r="BQ61" s="29">
        <v>42018</v>
      </c>
      <c r="BR61" s="30"/>
      <c r="BS61" s="30"/>
      <c r="BT61" s="30"/>
      <c r="BU61" s="30"/>
      <c r="BV61" s="30"/>
      <c r="BW61" s="30"/>
      <c r="BX61" s="30"/>
      <c r="BY61" s="30"/>
      <c r="BZ61" s="31"/>
      <c r="CA61" s="35">
        <f>CO61</f>
        <v>0.184</v>
      </c>
      <c r="CB61" s="36">
        <v>184.1744</v>
      </c>
      <c r="CC61" s="36">
        <v>184.1744</v>
      </c>
      <c r="CD61" s="36">
        <v>184.1744</v>
      </c>
      <c r="CE61" s="36">
        <v>184.1744</v>
      </c>
      <c r="CF61" s="36">
        <v>184.1744</v>
      </c>
      <c r="CG61" s="36">
        <v>184.1744</v>
      </c>
      <c r="CH61" s="36">
        <v>184.1744</v>
      </c>
      <c r="CI61" s="36">
        <v>184.1744</v>
      </c>
      <c r="CJ61" s="36">
        <v>184.1744</v>
      </c>
      <c r="CK61" s="36">
        <v>184.1744</v>
      </c>
      <c r="CL61" s="36">
        <v>184.1744</v>
      </c>
      <c r="CM61" s="36">
        <v>184.1744</v>
      </c>
      <c r="CN61" s="37">
        <v>184.1744</v>
      </c>
      <c r="CO61" s="35">
        <f t="shared" si="5"/>
        <v>0.184</v>
      </c>
      <c r="CP61" s="36" t="e">
        <f t="shared" si="6"/>
        <v>#VALUE!</v>
      </c>
      <c r="CQ61" s="36" t="e">
        <f t="shared" si="7"/>
        <v>#VALUE!</v>
      </c>
      <c r="CR61" s="36" t="e">
        <f t="shared" si="8"/>
        <v>#VALUE!</v>
      </c>
      <c r="CS61" s="36" t="e">
        <f t="shared" si="9"/>
        <v>#VALUE!</v>
      </c>
      <c r="CT61" s="36" t="e">
        <f t="shared" si="10"/>
        <v>#VALUE!</v>
      </c>
      <c r="CU61" s="36" t="e">
        <f t="shared" si="11"/>
        <v>#VALUE!</v>
      </c>
      <c r="CV61" s="36" t="e">
        <f t="shared" si="12"/>
        <v>#VALUE!</v>
      </c>
      <c r="CW61" s="36" t="e">
        <f t="shared" si="13"/>
        <v>#VALUE!</v>
      </c>
      <c r="CX61" s="36" t="e">
        <f t="shared" si="14"/>
        <v>#VALUE!</v>
      </c>
      <c r="CY61" s="36" t="e">
        <f t="shared" si="15"/>
        <v>#VALUE!</v>
      </c>
      <c r="CZ61" s="36" t="e">
        <f t="shared" si="16"/>
        <v>#VALUE!</v>
      </c>
      <c r="DA61" s="36" t="e">
        <f t="shared" si="17"/>
        <v>#VALUE!</v>
      </c>
      <c r="DB61" s="37" t="e">
        <f t="shared" si="18"/>
        <v>#VALUE!</v>
      </c>
      <c r="DC61" s="35">
        <f t="shared" si="19"/>
        <v>0</v>
      </c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7"/>
      <c r="DQ61" s="16" t="s">
        <v>43</v>
      </c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8"/>
      <c r="EH61" s="16" t="s">
        <v>43</v>
      </c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8"/>
      <c r="EY61" s="16" t="s">
        <v>43</v>
      </c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8"/>
      <c r="FP61" s="16" t="s">
        <v>43</v>
      </c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8"/>
      <c r="GG61" s="35">
        <v>0</v>
      </c>
      <c r="GH61" s="36"/>
      <c r="GI61" s="36"/>
      <c r="GJ61" s="36"/>
      <c r="GK61" s="36"/>
      <c r="GL61" s="36"/>
      <c r="GM61" s="36"/>
      <c r="GN61" s="36"/>
      <c r="GO61" s="36"/>
      <c r="GP61" s="37"/>
      <c r="GQ61" s="35">
        <v>0</v>
      </c>
      <c r="GR61" s="36"/>
      <c r="GS61" s="36"/>
      <c r="GT61" s="36"/>
      <c r="GU61" s="36"/>
      <c r="GV61" s="36"/>
      <c r="GW61" s="36"/>
      <c r="GX61" s="36"/>
      <c r="GY61" s="36"/>
      <c r="GZ61" s="37"/>
      <c r="HA61" s="35">
        <v>0.184</v>
      </c>
      <c r="HB61" s="36"/>
      <c r="HC61" s="36"/>
      <c r="HD61" s="36"/>
      <c r="HE61" s="36"/>
      <c r="HF61" s="36"/>
      <c r="HG61" s="36"/>
      <c r="HH61" s="36"/>
      <c r="HI61" s="36"/>
      <c r="HJ61" s="37"/>
      <c r="HK61" s="35">
        <v>0</v>
      </c>
      <c r="HL61" s="36"/>
      <c r="HM61" s="36"/>
      <c r="HN61" s="36"/>
      <c r="HO61" s="36"/>
      <c r="HP61" s="36"/>
      <c r="HQ61" s="36"/>
      <c r="HR61" s="36"/>
      <c r="HS61" s="36"/>
      <c r="HT61" s="37"/>
      <c r="HU61" s="35">
        <v>0</v>
      </c>
      <c r="HV61" s="36"/>
      <c r="HW61" s="36"/>
      <c r="HX61" s="36"/>
      <c r="HY61" s="36"/>
      <c r="HZ61" s="36"/>
      <c r="IA61" s="36"/>
      <c r="IB61" s="36"/>
      <c r="IC61" s="36"/>
      <c r="ID61" s="37"/>
      <c r="IE61" s="35">
        <f t="shared" si="0"/>
        <v>0.184</v>
      </c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42"/>
    </row>
    <row r="62" spans="1:250" ht="28.5" customHeight="1">
      <c r="A62" s="26" t="s">
        <v>175</v>
      </c>
      <c r="B62" s="27"/>
      <c r="C62" s="27"/>
      <c r="D62" s="27"/>
      <c r="E62" s="28"/>
      <c r="F62" s="23" t="s">
        <v>94</v>
      </c>
      <c r="G62" s="24" t="s">
        <v>94</v>
      </c>
      <c r="H62" s="24" t="s">
        <v>94</v>
      </c>
      <c r="I62" s="24" t="s">
        <v>94</v>
      </c>
      <c r="J62" s="24" t="s">
        <v>94</v>
      </c>
      <c r="K62" s="24" t="s">
        <v>94</v>
      </c>
      <c r="L62" s="24" t="s">
        <v>94</v>
      </c>
      <c r="M62" s="24" t="s">
        <v>94</v>
      </c>
      <c r="N62" s="24" t="s">
        <v>94</v>
      </c>
      <c r="O62" s="24" t="s">
        <v>94</v>
      </c>
      <c r="P62" s="24" t="s">
        <v>94</v>
      </c>
      <c r="Q62" s="24" t="s">
        <v>94</v>
      </c>
      <c r="R62" s="24" t="s">
        <v>94</v>
      </c>
      <c r="S62" s="24" t="s">
        <v>94</v>
      </c>
      <c r="T62" s="24" t="s">
        <v>94</v>
      </c>
      <c r="U62" s="24" t="s">
        <v>94</v>
      </c>
      <c r="V62" s="24" t="s">
        <v>94</v>
      </c>
      <c r="W62" s="24" t="s">
        <v>94</v>
      </c>
      <c r="X62" s="24" t="s">
        <v>94</v>
      </c>
      <c r="Y62" s="24" t="s">
        <v>94</v>
      </c>
      <c r="Z62" s="24" t="s">
        <v>94</v>
      </c>
      <c r="AA62" s="24" t="s">
        <v>94</v>
      </c>
      <c r="AB62" s="24" t="s">
        <v>94</v>
      </c>
      <c r="AC62" s="24" t="s">
        <v>94</v>
      </c>
      <c r="AD62" s="24" t="s">
        <v>94</v>
      </c>
      <c r="AE62" s="25" t="s">
        <v>94</v>
      </c>
      <c r="AF62" s="16"/>
      <c r="AG62" s="17"/>
      <c r="AH62" s="17"/>
      <c r="AI62" s="17"/>
      <c r="AJ62" s="17"/>
      <c r="AK62" s="17"/>
      <c r="AL62" s="17"/>
      <c r="AM62" s="17"/>
      <c r="AN62" s="17"/>
      <c r="AO62" s="18"/>
      <c r="AP62" s="16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8"/>
      <c r="BG62" s="29">
        <v>42016</v>
      </c>
      <c r="BH62" s="30"/>
      <c r="BI62" s="30"/>
      <c r="BJ62" s="30"/>
      <c r="BK62" s="30"/>
      <c r="BL62" s="30"/>
      <c r="BM62" s="30"/>
      <c r="BN62" s="30"/>
      <c r="BO62" s="30"/>
      <c r="BP62" s="31"/>
      <c r="BQ62" s="29">
        <v>42016</v>
      </c>
      <c r="BR62" s="30"/>
      <c r="BS62" s="30"/>
      <c r="BT62" s="30"/>
      <c r="BU62" s="30"/>
      <c r="BV62" s="30"/>
      <c r="BW62" s="30"/>
      <c r="BX62" s="30"/>
      <c r="BY62" s="30"/>
      <c r="BZ62" s="31"/>
      <c r="CA62" s="35">
        <f>CO62</f>
        <v>0.012615269951887718</v>
      </c>
      <c r="CB62" s="36">
        <v>104.0406</v>
      </c>
      <c r="CC62" s="36">
        <v>104.0406</v>
      </c>
      <c r="CD62" s="36">
        <v>104.0406</v>
      </c>
      <c r="CE62" s="36">
        <v>104.0406</v>
      </c>
      <c r="CF62" s="36">
        <v>104.0406</v>
      </c>
      <c r="CG62" s="36">
        <v>104.0406</v>
      </c>
      <c r="CH62" s="36">
        <v>104.0406</v>
      </c>
      <c r="CI62" s="36">
        <v>104.0406</v>
      </c>
      <c r="CJ62" s="36">
        <v>104.0406</v>
      </c>
      <c r="CK62" s="36">
        <v>104.0406</v>
      </c>
      <c r="CL62" s="36">
        <v>104.0406</v>
      </c>
      <c r="CM62" s="36">
        <v>104.0406</v>
      </c>
      <c r="CN62" s="37">
        <v>104.0406</v>
      </c>
      <c r="CO62" s="35">
        <f t="shared" si="5"/>
        <v>0.012615269951887718</v>
      </c>
      <c r="CP62" s="36" t="e">
        <f t="shared" si="6"/>
        <v>#VALUE!</v>
      </c>
      <c r="CQ62" s="36" t="e">
        <f t="shared" si="7"/>
        <v>#VALUE!</v>
      </c>
      <c r="CR62" s="36" t="e">
        <f t="shared" si="8"/>
        <v>#VALUE!</v>
      </c>
      <c r="CS62" s="36" t="e">
        <f t="shared" si="9"/>
        <v>#VALUE!</v>
      </c>
      <c r="CT62" s="36" t="e">
        <f t="shared" si="10"/>
        <v>#VALUE!</v>
      </c>
      <c r="CU62" s="36" t="e">
        <f t="shared" si="11"/>
        <v>#VALUE!</v>
      </c>
      <c r="CV62" s="36" t="e">
        <f t="shared" si="12"/>
        <v>#VALUE!</v>
      </c>
      <c r="CW62" s="36" t="e">
        <f t="shared" si="13"/>
        <v>#VALUE!</v>
      </c>
      <c r="CX62" s="36" t="e">
        <f t="shared" si="14"/>
        <v>#VALUE!</v>
      </c>
      <c r="CY62" s="36" t="e">
        <f t="shared" si="15"/>
        <v>#VALUE!</v>
      </c>
      <c r="CZ62" s="36" t="e">
        <f t="shared" si="16"/>
        <v>#VALUE!</v>
      </c>
      <c r="DA62" s="36" t="e">
        <f t="shared" si="17"/>
        <v>#VALUE!</v>
      </c>
      <c r="DB62" s="37" t="e">
        <f t="shared" si="18"/>
        <v>#VALUE!</v>
      </c>
      <c r="DC62" s="35">
        <f t="shared" si="19"/>
        <v>0.012615269951887718</v>
      </c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7"/>
      <c r="DQ62" s="16" t="s">
        <v>43</v>
      </c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8"/>
      <c r="EH62" s="16" t="s">
        <v>43</v>
      </c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8"/>
      <c r="EY62" s="16" t="s">
        <v>43</v>
      </c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8"/>
      <c r="FP62" s="16" t="s">
        <v>43</v>
      </c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8"/>
      <c r="GG62" s="35">
        <f>0.104*0.121300672614305</f>
        <v>0.012615269951887718</v>
      </c>
      <c r="GH62" s="36"/>
      <c r="GI62" s="36"/>
      <c r="GJ62" s="36"/>
      <c r="GK62" s="36"/>
      <c r="GL62" s="36"/>
      <c r="GM62" s="36"/>
      <c r="GN62" s="36"/>
      <c r="GO62" s="36"/>
      <c r="GP62" s="37"/>
      <c r="GQ62" s="35">
        <v>0</v>
      </c>
      <c r="GR62" s="36"/>
      <c r="GS62" s="36"/>
      <c r="GT62" s="36"/>
      <c r="GU62" s="36"/>
      <c r="GV62" s="36"/>
      <c r="GW62" s="36"/>
      <c r="GX62" s="36"/>
      <c r="GY62" s="36"/>
      <c r="GZ62" s="37"/>
      <c r="HA62" s="35">
        <v>0</v>
      </c>
      <c r="HB62" s="36"/>
      <c r="HC62" s="36"/>
      <c r="HD62" s="36"/>
      <c r="HE62" s="36"/>
      <c r="HF62" s="36"/>
      <c r="HG62" s="36"/>
      <c r="HH62" s="36"/>
      <c r="HI62" s="36"/>
      <c r="HJ62" s="37"/>
      <c r="HK62" s="35">
        <v>0</v>
      </c>
      <c r="HL62" s="36"/>
      <c r="HM62" s="36"/>
      <c r="HN62" s="36"/>
      <c r="HO62" s="36"/>
      <c r="HP62" s="36"/>
      <c r="HQ62" s="36"/>
      <c r="HR62" s="36"/>
      <c r="HS62" s="36"/>
      <c r="HT62" s="37"/>
      <c r="HU62" s="35">
        <v>0</v>
      </c>
      <c r="HV62" s="36"/>
      <c r="HW62" s="36"/>
      <c r="HX62" s="36"/>
      <c r="HY62" s="36"/>
      <c r="HZ62" s="36"/>
      <c r="IA62" s="36"/>
      <c r="IB62" s="36"/>
      <c r="IC62" s="36"/>
      <c r="ID62" s="37"/>
      <c r="IE62" s="35">
        <f t="shared" si="0"/>
        <v>0.012615269951887718</v>
      </c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42"/>
    </row>
    <row r="63" spans="1:250" ht="38.25" customHeight="1">
      <c r="A63" s="26" t="s">
        <v>176</v>
      </c>
      <c r="B63" s="27"/>
      <c r="C63" s="27"/>
      <c r="D63" s="27"/>
      <c r="E63" s="28"/>
      <c r="F63" s="23" t="s">
        <v>95</v>
      </c>
      <c r="G63" s="24" t="s">
        <v>95</v>
      </c>
      <c r="H63" s="24" t="s">
        <v>95</v>
      </c>
      <c r="I63" s="24" t="s">
        <v>95</v>
      </c>
      <c r="J63" s="24" t="s">
        <v>95</v>
      </c>
      <c r="K63" s="24" t="s">
        <v>95</v>
      </c>
      <c r="L63" s="24" t="s">
        <v>95</v>
      </c>
      <c r="M63" s="24" t="s">
        <v>95</v>
      </c>
      <c r="N63" s="24" t="s">
        <v>95</v>
      </c>
      <c r="O63" s="24" t="s">
        <v>95</v>
      </c>
      <c r="P63" s="24" t="s">
        <v>95</v>
      </c>
      <c r="Q63" s="24" t="s">
        <v>95</v>
      </c>
      <c r="R63" s="24" t="s">
        <v>95</v>
      </c>
      <c r="S63" s="24" t="s">
        <v>95</v>
      </c>
      <c r="T63" s="24" t="s">
        <v>95</v>
      </c>
      <c r="U63" s="24" t="s">
        <v>95</v>
      </c>
      <c r="V63" s="24" t="s">
        <v>95</v>
      </c>
      <c r="W63" s="24" t="s">
        <v>95</v>
      </c>
      <c r="X63" s="24" t="s">
        <v>95</v>
      </c>
      <c r="Y63" s="24" t="s">
        <v>95</v>
      </c>
      <c r="Z63" s="24" t="s">
        <v>95</v>
      </c>
      <c r="AA63" s="24" t="s">
        <v>95</v>
      </c>
      <c r="AB63" s="24" t="s">
        <v>95</v>
      </c>
      <c r="AC63" s="24" t="s">
        <v>95</v>
      </c>
      <c r="AD63" s="24" t="s">
        <v>95</v>
      </c>
      <c r="AE63" s="25" t="s">
        <v>95</v>
      </c>
      <c r="AF63" s="16"/>
      <c r="AG63" s="17"/>
      <c r="AH63" s="17"/>
      <c r="AI63" s="17"/>
      <c r="AJ63" s="17"/>
      <c r="AK63" s="17"/>
      <c r="AL63" s="17"/>
      <c r="AM63" s="17"/>
      <c r="AN63" s="17"/>
      <c r="AO63" s="18"/>
      <c r="AP63" s="16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8"/>
      <c r="BG63" s="29">
        <v>12018</v>
      </c>
      <c r="BH63" s="30"/>
      <c r="BI63" s="30"/>
      <c r="BJ63" s="30"/>
      <c r="BK63" s="30"/>
      <c r="BL63" s="30"/>
      <c r="BM63" s="30"/>
      <c r="BN63" s="30"/>
      <c r="BO63" s="30"/>
      <c r="BP63" s="31"/>
      <c r="BQ63" s="29">
        <v>42018</v>
      </c>
      <c r="BR63" s="30"/>
      <c r="BS63" s="30"/>
      <c r="BT63" s="30"/>
      <c r="BU63" s="30"/>
      <c r="BV63" s="30"/>
      <c r="BW63" s="30"/>
      <c r="BX63" s="30"/>
      <c r="BY63" s="30"/>
      <c r="BZ63" s="31"/>
      <c r="CA63" s="35">
        <f>CO63</f>
        <v>2.223</v>
      </c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7"/>
      <c r="CO63" s="35">
        <f t="shared" si="5"/>
        <v>2.223</v>
      </c>
      <c r="CP63" s="36" t="e">
        <f t="shared" si="6"/>
        <v>#VALUE!</v>
      </c>
      <c r="CQ63" s="36" t="e">
        <f t="shared" si="7"/>
        <v>#VALUE!</v>
      </c>
      <c r="CR63" s="36" t="e">
        <f t="shared" si="8"/>
        <v>#VALUE!</v>
      </c>
      <c r="CS63" s="36" t="e">
        <f t="shared" si="9"/>
        <v>#VALUE!</v>
      </c>
      <c r="CT63" s="36" t="e">
        <f t="shared" si="10"/>
        <v>#VALUE!</v>
      </c>
      <c r="CU63" s="36" t="e">
        <f t="shared" si="11"/>
        <v>#VALUE!</v>
      </c>
      <c r="CV63" s="36" t="e">
        <f t="shared" si="12"/>
        <v>#VALUE!</v>
      </c>
      <c r="CW63" s="36" t="e">
        <f t="shared" si="13"/>
        <v>#VALUE!</v>
      </c>
      <c r="CX63" s="36" t="e">
        <f t="shared" si="14"/>
        <v>#VALUE!</v>
      </c>
      <c r="CY63" s="36" t="e">
        <f t="shared" si="15"/>
        <v>#VALUE!</v>
      </c>
      <c r="CZ63" s="36" t="e">
        <f t="shared" si="16"/>
        <v>#VALUE!</v>
      </c>
      <c r="DA63" s="36" t="e">
        <f t="shared" si="17"/>
        <v>#VALUE!</v>
      </c>
      <c r="DB63" s="37" t="e">
        <f t="shared" si="18"/>
        <v>#VALUE!</v>
      </c>
      <c r="DC63" s="35">
        <f t="shared" si="19"/>
        <v>0</v>
      </c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7"/>
      <c r="DQ63" s="16" t="s">
        <v>43</v>
      </c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8"/>
      <c r="EH63" s="16" t="s">
        <v>43</v>
      </c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8"/>
      <c r="EY63" s="16" t="s">
        <v>43</v>
      </c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8"/>
      <c r="FP63" s="16" t="s">
        <v>43</v>
      </c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8"/>
      <c r="GG63" s="35">
        <v>0</v>
      </c>
      <c r="GH63" s="36"/>
      <c r="GI63" s="36"/>
      <c r="GJ63" s="36"/>
      <c r="GK63" s="36"/>
      <c r="GL63" s="36"/>
      <c r="GM63" s="36"/>
      <c r="GN63" s="36"/>
      <c r="GO63" s="36"/>
      <c r="GP63" s="37"/>
      <c r="GQ63" s="35">
        <v>0</v>
      </c>
      <c r="GR63" s="36"/>
      <c r="GS63" s="36"/>
      <c r="GT63" s="36"/>
      <c r="GU63" s="36"/>
      <c r="GV63" s="36"/>
      <c r="GW63" s="36"/>
      <c r="GX63" s="36"/>
      <c r="GY63" s="36"/>
      <c r="GZ63" s="37"/>
      <c r="HA63" s="35">
        <v>2.223</v>
      </c>
      <c r="HB63" s="36"/>
      <c r="HC63" s="36"/>
      <c r="HD63" s="36"/>
      <c r="HE63" s="36"/>
      <c r="HF63" s="36"/>
      <c r="HG63" s="36"/>
      <c r="HH63" s="36"/>
      <c r="HI63" s="36"/>
      <c r="HJ63" s="37"/>
      <c r="HK63" s="35">
        <v>0</v>
      </c>
      <c r="HL63" s="36"/>
      <c r="HM63" s="36"/>
      <c r="HN63" s="36"/>
      <c r="HO63" s="36"/>
      <c r="HP63" s="36"/>
      <c r="HQ63" s="36"/>
      <c r="HR63" s="36"/>
      <c r="HS63" s="36"/>
      <c r="HT63" s="37"/>
      <c r="HU63" s="35">
        <v>0</v>
      </c>
      <c r="HV63" s="36"/>
      <c r="HW63" s="36"/>
      <c r="HX63" s="36"/>
      <c r="HY63" s="36"/>
      <c r="HZ63" s="36"/>
      <c r="IA63" s="36"/>
      <c r="IB63" s="36"/>
      <c r="IC63" s="36"/>
      <c r="ID63" s="37"/>
      <c r="IE63" s="35">
        <f t="shared" si="0"/>
        <v>2.223</v>
      </c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42"/>
    </row>
    <row r="64" spans="1:250" ht="41.25" customHeight="1">
      <c r="A64" s="26" t="s">
        <v>177</v>
      </c>
      <c r="B64" s="27"/>
      <c r="C64" s="27"/>
      <c r="D64" s="27"/>
      <c r="E64" s="28"/>
      <c r="F64" s="23" t="s">
        <v>96</v>
      </c>
      <c r="G64" s="24" t="s">
        <v>96</v>
      </c>
      <c r="H64" s="24" t="s">
        <v>96</v>
      </c>
      <c r="I64" s="24" t="s">
        <v>96</v>
      </c>
      <c r="J64" s="24" t="s">
        <v>96</v>
      </c>
      <c r="K64" s="24" t="s">
        <v>96</v>
      </c>
      <c r="L64" s="24" t="s">
        <v>96</v>
      </c>
      <c r="M64" s="24" t="s">
        <v>96</v>
      </c>
      <c r="N64" s="24" t="s">
        <v>96</v>
      </c>
      <c r="O64" s="24" t="s">
        <v>96</v>
      </c>
      <c r="P64" s="24" t="s">
        <v>96</v>
      </c>
      <c r="Q64" s="24" t="s">
        <v>96</v>
      </c>
      <c r="R64" s="24" t="s">
        <v>96</v>
      </c>
      <c r="S64" s="24" t="s">
        <v>96</v>
      </c>
      <c r="T64" s="24" t="s">
        <v>96</v>
      </c>
      <c r="U64" s="24" t="s">
        <v>96</v>
      </c>
      <c r="V64" s="24" t="s">
        <v>96</v>
      </c>
      <c r="W64" s="24" t="s">
        <v>96</v>
      </c>
      <c r="X64" s="24" t="s">
        <v>96</v>
      </c>
      <c r="Y64" s="24" t="s">
        <v>96</v>
      </c>
      <c r="Z64" s="24" t="s">
        <v>96</v>
      </c>
      <c r="AA64" s="24" t="s">
        <v>96</v>
      </c>
      <c r="AB64" s="24" t="s">
        <v>96</v>
      </c>
      <c r="AC64" s="24" t="s">
        <v>96</v>
      </c>
      <c r="AD64" s="24" t="s">
        <v>96</v>
      </c>
      <c r="AE64" s="25" t="s">
        <v>96</v>
      </c>
      <c r="AF64" s="16"/>
      <c r="AG64" s="17"/>
      <c r="AH64" s="17"/>
      <c r="AI64" s="17"/>
      <c r="AJ64" s="17"/>
      <c r="AK64" s="17"/>
      <c r="AL64" s="17"/>
      <c r="AM64" s="17"/>
      <c r="AN64" s="17"/>
      <c r="AO64" s="18"/>
      <c r="AP64" s="16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8"/>
      <c r="BG64" s="29">
        <v>12019</v>
      </c>
      <c r="BH64" s="30"/>
      <c r="BI64" s="30"/>
      <c r="BJ64" s="30"/>
      <c r="BK64" s="30"/>
      <c r="BL64" s="30"/>
      <c r="BM64" s="30"/>
      <c r="BN64" s="30"/>
      <c r="BO64" s="30"/>
      <c r="BP64" s="31"/>
      <c r="BQ64" s="29">
        <v>42019</v>
      </c>
      <c r="BR64" s="30"/>
      <c r="BS64" s="30"/>
      <c r="BT64" s="30"/>
      <c r="BU64" s="30"/>
      <c r="BV64" s="30"/>
      <c r="BW64" s="30"/>
      <c r="BX64" s="30"/>
      <c r="BY64" s="30"/>
      <c r="BZ64" s="31"/>
      <c r="CA64" s="35">
        <f>CO64</f>
        <v>0.4797378770304502</v>
      </c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7"/>
      <c r="CO64" s="35">
        <f t="shared" si="5"/>
        <v>0.4797378770304502</v>
      </c>
      <c r="CP64" s="36" t="e">
        <f t="shared" si="6"/>
        <v>#VALUE!</v>
      </c>
      <c r="CQ64" s="36" t="e">
        <f t="shared" si="7"/>
        <v>#VALUE!</v>
      </c>
      <c r="CR64" s="36" t="e">
        <f t="shared" si="8"/>
        <v>#VALUE!</v>
      </c>
      <c r="CS64" s="36" t="e">
        <f t="shared" si="9"/>
        <v>#VALUE!</v>
      </c>
      <c r="CT64" s="36" t="e">
        <f t="shared" si="10"/>
        <v>#VALUE!</v>
      </c>
      <c r="CU64" s="36" t="e">
        <f t="shared" si="11"/>
        <v>#VALUE!</v>
      </c>
      <c r="CV64" s="36" t="e">
        <f t="shared" si="12"/>
        <v>#VALUE!</v>
      </c>
      <c r="CW64" s="36" t="e">
        <f t="shared" si="13"/>
        <v>#VALUE!</v>
      </c>
      <c r="CX64" s="36" t="e">
        <f t="shared" si="14"/>
        <v>#VALUE!</v>
      </c>
      <c r="CY64" s="36" t="e">
        <f t="shared" si="15"/>
        <v>#VALUE!</v>
      </c>
      <c r="CZ64" s="36" t="e">
        <f t="shared" si="16"/>
        <v>#VALUE!</v>
      </c>
      <c r="DA64" s="36" t="e">
        <f t="shared" si="17"/>
        <v>#VALUE!</v>
      </c>
      <c r="DB64" s="37" t="e">
        <f t="shared" si="18"/>
        <v>#VALUE!</v>
      </c>
      <c r="DC64" s="35">
        <f t="shared" si="19"/>
        <v>0</v>
      </c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7"/>
      <c r="DQ64" s="16" t="s">
        <v>43</v>
      </c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8"/>
      <c r="EH64" s="16" t="s">
        <v>43</v>
      </c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8"/>
      <c r="EY64" s="16" t="s">
        <v>43</v>
      </c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8"/>
      <c r="FP64" s="16" t="s">
        <v>43</v>
      </c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8"/>
      <c r="GG64" s="16">
        <v>0</v>
      </c>
      <c r="GH64" s="17"/>
      <c r="GI64" s="17"/>
      <c r="GJ64" s="17"/>
      <c r="GK64" s="17"/>
      <c r="GL64" s="17"/>
      <c r="GM64" s="17"/>
      <c r="GN64" s="17"/>
      <c r="GO64" s="17"/>
      <c r="GP64" s="18"/>
      <c r="GQ64" s="16">
        <v>0</v>
      </c>
      <c r="GR64" s="17"/>
      <c r="GS64" s="17"/>
      <c r="GT64" s="17"/>
      <c r="GU64" s="17"/>
      <c r="GV64" s="17"/>
      <c r="GW64" s="17"/>
      <c r="GX64" s="17"/>
      <c r="GY64" s="17"/>
      <c r="GZ64" s="18"/>
      <c r="HA64" s="16">
        <v>0</v>
      </c>
      <c r="HB64" s="17"/>
      <c r="HC64" s="17"/>
      <c r="HD64" s="17"/>
      <c r="HE64" s="17"/>
      <c r="HF64" s="17"/>
      <c r="HG64" s="17"/>
      <c r="HH64" s="17"/>
      <c r="HI64" s="17"/>
      <c r="HJ64" s="18"/>
      <c r="HK64" s="16">
        <f>1.089*0.440530649247429</f>
        <v>0.4797378770304502</v>
      </c>
      <c r="HL64" s="17"/>
      <c r="HM64" s="17"/>
      <c r="HN64" s="17"/>
      <c r="HO64" s="17"/>
      <c r="HP64" s="17"/>
      <c r="HQ64" s="17"/>
      <c r="HR64" s="17"/>
      <c r="HS64" s="17"/>
      <c r="HT64" s="18"/>
      <c r="HU64" s="16">
        <v>0</v>
      </c>
      <c r="HV64" s="17"/>
      <c r="HW64" s="17"/>
      <c r="HX64" s="17"/>
      <c r="HY64" s="17"/>
      <c r="HZ64" s="17"/>
      <c r="IA64" s="17"/>
      <c r="IB64" s="17"/>
      <c r="IC64" s="17"/>
      <c r="ID64" s="18"/>
      <c r="IE64" s="16">
        <f t="shared" si="0"/>
        <v>0.4797378770304502</v>
      </c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43"/>
    </row>
    <row r="65" spans="1:250" ht="57" customHeight="1">
      <c r="A65" s="26" t="s">
        <v>178</v>
      </c>
      <c r="B65" s="27"/>
      <c r="C65" s="27"/>
      <c r="D65" s="27"/>
      <c r="E65" s="28"/>
      <c r="F65" s="23" t="s">
        <v>97</v>
      </c>
      <c r="G65" s="24" t="s">
        <v>97</v>
      </c>
      <c r="H65" s="24" t="s">
        <v>97</v>
      </c>
      <c r="I65" s="24" t="s">
        <v>97</v>
      </c>
      <c r="J65" s="24" t="s">
        <v>97</v>
      </c>
      <c r="K65" s="24" t="s">
        <v>97</v>
      </c>
      <c r="L65" s="24" t="s">
        <v>97</v>
      </c>
      <c r="M65" s="24" t="s">
        <v>97</v>
      </c>
      <c r="N65" s="24" t="s">
        <v>97</v>
      </c>
      <c r="O65" s="24" t="s">
        <v>97</v>
      </c>
      <c r="P65" s="24" t="s">
        <v>97</v>
      </c>
      <c r="Q65" s="24" t="s">
        <v>97</v>
      </c>
      <c r="R65" s="24" t="s">
        <v>97</v>
      </c>
      <c r="S65" s="24" t="s">
        <v>97</v>
      </c>
      <c r="T65" s="24" t="s">
        <v>97</v>
      </c>
      <c r="U65" s="24" t="s">
        <v>97</v>
      </c>
      <c r="V65" s="24" t="s">
        <v>97</v>
      </c>
      <c r="W65" s="24" t="s">
        <v>97</v>
      </c>
      <c r="X65" s="24" t="s">
        <v>97</v>
      </c>
      <c r="Y65" s="24" t="s">
        <v>97</v>
      </c>
      <c r="Z65" s="24" t="s">
        <v>97</v>
      </c>
      <c r="AA65" s="24" t="s">
        <v>97</v>
      </c>
      <c r="AB65" s="24" t="s">
        <v>97</v>
      </c>
      <c r="AC65" s="24" t="s">
        <v>97</v>
      </c>
      <c r="AD65" s="24" t="s">
        <v>97</v>
      </c>
      <c r="AE65" s="25" t="s">
        <v>97</v>
      </c>
      <c r="AF65" s="16"/>
      <c r="AG65" s="17"/>
      <c r="AH65" s="17"/>
      <c r="AI65" s="17"/>
      <c r="AJ65" s="17"/>
      <c r="AK65" s="17"/>
      <c r="AL65" s="17"/>
      <c r="AM65" s="17"/>
      <c r="AN65" s="17"/>
      <c r="AO65" s="18"/>
      <c r="AP65" s="16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8"/>
      <c r="BG65" s="29">
        <v>32016</v>
      </c>
      <c r="BH65" s="30"/>
      <c r="BI65" s="30"/>
      <c r="BJ65" s="30"/>
      <c r="BK65" s="30"/>
      <c r="BL65" s="30"/>
      <c r="BM65" s="30"/>
      <c r="BN65" s="30"/>
      <c r="BO65" s="30"/>
      <c r="BP65" s="31"/>
      <c r="BQ65" s="29">
        <v>42016</v>
      </c>
      <c r="BR65" s="30"/>
      <c r="BS65" s="30"/>
      <c r="BT65" s="30"/>
      <c r="BU65" s="30"/>
      <c r="BV65" s="30"/>
      <c r="BW65" s="30"/>
      <c r="BX65" s="30"/>
      <c r="BY65" s="30"/>
      <c r="BZ65" s="31"/>
      <c r="CA65" s="35">
        <f>CO65</f>
        <v>0.02765655335606154</v>
      </c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7"/>
      <c r="CO65" s="35">
        <f t="shared" si="5"/>
        <v>0.02765655335606154</v>
      </c>
      <c r="CP65" s="36" t="e">
        <f t="shared" si="6"/>
        <v>#VALUE!</v>
      </c>
      <c r="CQ65" s="36" t="e">
        <f t="shared" si="7"/>
        <v>#VALUE!</v>
      </c>
      <c r="CR65" s="36" t="e">
        <f t="shared" si="8"/>
        <v>#VALUE!</v>
      </c>
      <c r="CS65" s="36" t="e">
        <f t="shared" si="9"/>
        <v>#VALUE!</v>
      </c>
      <c r="CT65" s="36" t="e">
        <f t="shared" si="10"/>
        <v>#VALUE!</v>
      </c>
      <c r="CU65" s="36" t="e">
        <f t="shared" si="11"/>
        <v>#VALUE!</v>
      </c>
      <c r="CV65" s="36" t="e">
        <f t="shared" si="12"/>
        <v>#VALUE!</v>
      </c>
      <c r="CW65" s="36" t="e">
        <f t="shared" si="13"/>
        <v>#VALUE!</v>
      </c>
      <c r="CX65" s="36" t="e">
        <f t="shared" si="14"/>
        <v>#VALUE!</v>
      </c>
      <c r="CY65" s="36" t="e">
        <f t="shared" si="15"/>
        <v>#VALUE!</v>
      </c>
      <c r="CZ65" s="36" t="e">
        <f t="shared" si="16"/>
        <v>#VALUE!</v>
      </c>
      <c r="DA65" s="36" t="e">
        <f t="shared" si="17"/>
        <v>#VALUE!</v>
      </c>
      <c r="DB65" s="37" t="e">
        <f t="shared" si="18"/>
        <v>#VALUE!</v>
      </c>
      <c r="DC65" s="35">
        <f t="shared" si="19"/>
        <v>0.02765655335606154</v>
      </c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7"/>
      <c r="DQ65" s="16" t="s">
        <v>43</v>
      </c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8"/>
      <c r="EH65" s="16" t="s">
        <v>43</v>
      </c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8"/>
      <c r="EY65" s="16" t="s">
        <v>43</v>
      </c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8"/>
      <c r="FP65" s="16" t="s">
        <v>43</v>
      </c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8"/>
      <c r="GG65" s="35">
        <f>0.228*0.121300672614305</f>
        <v>0.02765655335606154</v>
      </c>
      <c r="GH65" s="36"/>
      <c r="GI65" s="36"/>
      <c r="GJ65" s="36"/>
      <c r="GK65" s="36"/>
      <c r="GL65" s="36"/>
      <c r="GM65" s="36"/>
      <c r="GN65" s="36"/>
      <c r="GO65" s="36"/>
      <c r="GP65" s="37"/>
      <c r="GQ65" s="35">
        <v>0</v>
      </c>
      <c r="GR65" s="36"/>
      <c r="GS65" s="36"/>
      <c r="GT65" s="36"/>
      <c r="GU65" s="36"/>
      <c r="GV65" s="36"/>
      <c r="GW65" s="36"/>
      <c r="GX65" s="36"/>
      <c r="GY65" s="36"/>
      <c r="GZ65" s="37"/>
      <c r="HA65" s="35">
        <v>0</v>
      </c>
      <c r="HB65" s="36"/>
      <c r="HC65" s="36"/>
      <c r="HD65" s="36"/>
      <c r="HE65" s="36"/>
      <c r="HF65" s="36"/>
      <c r="HG65" s="36"/>
      <c r="HH65" s="36"/>
      <c r="HI65" s="36"/>
      <c r="HJ65" s="37"/>
      <c r="HK65" s="35">
        <v>0</v>
      </c>
      <c r="HL65" s="36"/>
      <c r="HM65" s="36"/>
      <c r="HN65" s="36"/>
      <c r="HO65" s="36"/>
      <c r="HP65" s="36"/>
      <c r="HQ65" s="36"/>
      <c r="HR65" s="36"/>
      <c r="HS65" s="36"/>
      <c r="HT65" s="37"/>
      <c r="HU65" s="35">
        <v>0</v>
      </c>
      <c r="HV65" s="36"/>
      <c r="HW65" s="36"/>
      <c r="HX65" s="36"/>
      <c r="HY65" s="36"/>
      <c r="HZ65" s="36"/>
      <c r="IA65" s="36"/>
      <c r="IB65" s="36"/>
      <c r="IC65" s="36"/>
      <c r="ID65" s="37"/>
      <c r="IE65" s="35">
        <f t="shared" si="0"/>
        <v>0.02765655335606154</v>
      </c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42"/>
    </row>
    <row r="66" spans="1:250" ht="35.25" customHeight="1">
      <c r="A66" s="26" t="s">
        <v>179</v>
      </c>
      <c r="B66" s="27"/>
      <c r="C66" s="27"/>
      <c r="D66" s="27"/>
      <c r="E66" s="28"/>
      <c r="F66" s="23" t="s">
        <v>98</v>
      </c>
      <c r="G66" s="24" t="s">
        <v>98</v>
      </c>
      <c r="H66" s="24" t="s">
        <v>98</v>
      </c>
      <c r="I66" s="24" t="s">
        <v>98</v>
      </c>
      <c r="J66" s="24" t="s">
        <v>98</v>
      </c>
      <c r="K66" s="24" t="s">
        <v>98</v>
      </c>
      <c r="L66" s="24" t="s">
        <v>98</v>
      </c>
      <c r="M66" s="24" t="s">
        <v>98</v>
      </c>
      <c r="N66" s="24" t="s">
        <v>98</v>
      </c>
      <c r="O66" s="24" t="s">
        <v>98</v>
      </c>
      <c r="P66" s="24" t="s">
        <v>98</v>
      </c>
      <c r="Q66" s="24" t="s">
        <v>98</v>
      </c>
      <c r="R66" s="24" t="s">
        <v>98</v>
      </c>
      <c r="S66" s="24" t="s">
        <v>98</v>
      </c>
      <c r="T66" s="24" t="s">
        <v>98</v>
      </c>
      <c r="U66" s="24" t="s">
        <v>98</v>
      </c>
      <c r="V66" s="24" t="s">
        <v>98</v>
      </c>
      <c r="W66" s="24" t="s">
        <v>98</v>
      </c>
      <c r="X66" s="24" t="s">
        <v>98</v>
      </c>
      <c r="Y66" s="24" t="s">
        <v>98</v>
      </c>
      <c r="Z66" s="24" t="s">
        <v>98</v>
      </c>
      <c r="AA66" s="24" t="s">
        <v>98</v>
      </c>
      <c r="AB66" s="24" t="s">
        <v>98</v>
      </c>
      <c r="AC66" s="24" t="s">
        <v>98</v>
      </c>
      <c r="AD66" s="24" t="s">
        <v>98</v>
      </c>
      <c r="AE66" s="25" t="s">
        <v>98</v>
      </c>
      <c r="AF66" s="16"/>
      <c r="AG66" s="17"/>
      <c r="AH66" s="17"/>
      <c r="AI66" s="17"/>
      <c r="AJ66" s="17"/>
      <c r="AK66" s="17"/>
      <c r="AL66" s="17"/>
      <c r="AM66" s="17"/>
      <c r="AN66" s="17"/>
      <c r="AO66" s="18"/>
      <c r="AP66" s="1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8"/>
      <c r="BG66" s="29">
        <v>42016</v>
      </c>
      <c r="BH66" s="30"/>
      <c r="BI66" s="30"/>
      <c r="BJ66" s="30"/>
      <c r="BK66" s="30"/>
      <c r="BL66" s="30"/>
      <c r="BM66" s="30"/>
      <c r="BN66" s="30"/>
      <c r="BO66" s="30"/>
      <c r="BP66" s="31"/>
      <c r="BQ66" s="29">
        <v>42016</v>
      </c>
      <c r="BR66" s="30"/>
      <c r="BS66" s="30"/>
      <c r="BT66" s="30"/>
      <c r="BU66" s="30"/>
      <c r="BV66" s="30"/>
      <c r="BW66" s="30"/>
      <c r="BX66" s="30"/>
      <c r="BY66" s="30"/>
      <c r="BZ66" s="31"/>
      <c r="CA66" s="35">
        <f>CO66</f>
        <v>0.03978662061749204</v>
      </c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7"/>
      <c r="CO66" s="35">
        <f t="shared" si="5"/>
        <v>0.03978662061749204</v>
      </c>
      <c r="CP66" s="36" t="e">
        <f t="shared" si="6"/>
        <v>#VALUE!</v>
      </c>
      <c r="CQ66" s="36" t="e">
        <f t="shared" si="7"/>
        <v>#VALUE!</v>
      </c>
      <c r="CR66" s="36" t="e">
        <f t="shared" si="8"/>
        <v>#VALUE!</v>
      </c>
      <c r="CS66" s="36" t="e">
        <f t="shared" si="9"/>
        <v>#VALUE!</v>
      </c>
      <c r="CT66" s="36" t="e">
        <f t="shared" si="10"/>
        <v>#VALUE!</v>
      </c>
      <c r="CU66" s="36" t="e">
        <f t="shared" si="11"/>
        <v>#VALUE!</v>
      </c>
      <c r="CV66" s="36" t="e">
        <f t="shared" si="12"/>
        <v>#VALUE!</v>
      </c>
      <c r="CW66" s="36" t="e">
        <f t="shared" si="13"/>
        <v>#VALUE!</v>
      </c>
      <c r="CX66" s="36" t="e">
        <f t="shared" si="14"/>
        <v>#VALUE!</v>
      </c>
      <c r="CY66" s="36" t="e">
        <f t="shared" si="15"/>
        <v>#VALUE!</v>
      </c>
      <c r="CZ66" s="36" t="e">
        <f t="shared" si="16"/>
        <v>#VALUE!</v>
      </c>
      <c r="DA66" s="36" t="e">
        <f t="shared" si="17"/>
        <v>#VALUE!</v>
      </c>
      <c r="DB66" s="37" t="e">
        <f t="shared" si="18"/>
        <v>#VALUE!</v>
      </c>
      <c r="DC66" s="35">
        <f t="shared" si="19"/>
        <v>0.03978662061749204</v>
      </c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7"/>
      <c r="DQ66" s="16" t="s">
        <v>43</v>
      </c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8"/>
      <c r="EH66" s="16" t="s">
        <v>43</v>
      </c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8"/>
      <c r="EY66" s="16" t="s">
        <v>43</v>
      </c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8"/>
      <c r="FP66" s="16" t="s">
        <v>43</v>
      </c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8"/>
      <c r="GG66" s="35">
        <f>0.328*0.121300672614305</f>
        <v>0.03978662061749204</v>
      </c>
      <c r="GH66" s="36"/>
      <c r="GI66" s="36"/>
      <c r="GJ66" s="36"/>
      <c r="GK66" s="36"/>
      <c r="GL66" s="36"/>
      <c r="GM66" s="36"/>
      <c r="GN66" s="36"/>
      <c r="GO66" s="36"/>
      <c r="GP66" s="37"/>
      <c r="GQ66" s="35">
        <v>0</v>
      </c>
      <c r="GR66" s="36"/>
      <c r="GS66" s="36"/>
      <c r="GT66" s="36"/>
      <c r="GU66" s="36"/>
      <c r="GV66" s="36"/>
      <c r="GW66" s="36"/>
      <c r="GX66" s="36"/>
      <c r="GY66" s="36"/>
      <c r="GZ66" s="37"/>
      <c r="HA66" s="35">
        <v>0</v>
      </c>
      <c r="HB66" s="36"/>
      <c r="HC66" s="36"/>
      <c r="HD66" s="36"/>
      <c r="HE66" s="36"/>
      <c r="HF66" s="36"/>
      <c r="HG66" s="36"/>
      <c r="HH66" s="36"/>
      <c r="HI66" s="36"/>
      <c r="HJ66" s="37"/>
      <c r="HK66" s="35">
        <v>0</v>
      </c>
      <c r="HL66" s="36"/>
      <c r="HM66" s="36"/>
      <c r="HN66" s="36"/>
      <c r="HO66" s="36"/>
      <c r="HP66" s="36"/>
      <c r="HQ66" s="36"/>
      <c r="HR66" s="36"/>
      <c r="HS66" s="36"/>
      <c r="HT66" s="37"/>
      <c r="HU66" s="35">
        <v>0</v>
      </c>
      <c r="HV66" s="36"/>
      <c r="HW66" s="36"/>
      <c r="HX66" s="36"/>
      <c r="HY66" s="36"/>
      <c r="HZ66" s="36"/>
      <c r="IA66" s="36"/>
      <c r="IB66" s="36"/>
      <c r="IC66" s="36"/>
      <c r="ID66" s="37"/>
      <c r="IE66" s="35">
        <f t="shared" si="0"/>
        <v>0.03978662061749204</v>
      </c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42"/>
    </row>
    <row r="67" spans="1:250" ht="51.75" customHeight="1">
      <c r="A67" s="26" t="s">
        <v>180</v>
      </c>
      <c r="B67" s="27"/>
      <c r="C67" s="27"/>
      <c r="D67" s="27"/>
      <c r="E67" s="28"/>
      <c r="F67" s="23" t="s">
        <v>99</v>
      </c>
      <c r="G67" s="24" t="s">
        <v>99</v>
      </c>
      <c r="H67" s="24" t="s">
        <v>99</v>
      </c>
      <c r="I67" s="24" t="s">
        <v>99</v>
      </c>
      <c r="J67" s="24" t="s">
        <v>99</v>
      </c>
      <c r="K67" s="24" t="s">
        <v>99</v>
      </c>
      <c r="L67" s="24" t="s">
        <v>99</v>
      </c>
      <c r="M67" s="24" t="s">
        <v>99</v>
      </c>
      <c r="N67" s="24" t="s">
        <v>99</v>
      </c>
      <c r="O67" s="24" t="s">
        <v>99</v>
      </c>
      <c r="P67" s="24" t="s">
        <v>99</v>
      </c>
      <c r="Q67" s="24" t="s">
        <v>99</v>
      </c>
      <c r="R67" s="24" t="s">
        <v>99</v>
      </c>
      <c r="S67" s="24" t="s">
        <v>99</v>
      </c>
      <c r="T67" s="24" t="s">
        <v>99</v>
      </c>
      <c r="U67" s="24" t="s">
        <v>99</v>
      </c>
      <c r="V67" s="24" t="s">
        <v>99</v>
      </c>
      <c r="W67" s="24" t="s">
        <v>99</v>
      </c>
      <c r="X67" s="24" t="s">
        <v>99</v>
      </c>
      <c r="Y67" s="24" t="s">
        <v>99</v>
      </c>
      <c r="Z67" s="24" t="s">
        <v>99</v>
      </c>
      <c r="AA67" s="24" t="s">
        <v>99</v>
      </c>
      <c r="AB67" s="24" t="s">
        <v>99</v>
      </c>
      <c r="AC67" s="24" t="s">
        <v>99</v>
      </c>
      <c r="AD67" s="24" t="s">
        <v>99</v>
      </c>
      <c r="AE67" s="25" t="s">
        <v>99</v>
      </c>
      <c r="AF67" s="16"/>
      <c r="AG67" s="17"/>
      <c r="AH67" s="17"/>
      <c r="AI67" s="17"/>
      <c r="AJ67" s="17"/>
      <c r="AK67" s="17"/>
      <c r="AL67" s="17"/>
      <c r="AM67" s="17"/>
      <c r="AN67" s="17"/>
      <c r="AO67" s="18"/>
      <c r="AP67" s="16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8"/>
      <c r="BG67" s="29">
        <v>32016</v>
      </c>
      <c r="BH67" s="30"/>
      <c r="BI67" s="30"/>
      <c r="BJ67" s="30"/>
      <c r="BK67" s="30"/>
      <c r="BL67" s="30"/>
      <c r="BM67" s="30"/>
      <c r="BN67" s="30"/>
      <c r="BO67" s="30"/>
      <c r="BP67" s="31"/>
      <c r="BQ67" s="29">
        <v>12017</v>
      </c>
      <c r="BR67" s="30"/>
      <c r="BS67" s="30"/>
      <c r="BT67" s="30"/>
      <c r="BU67" s="30"/>
      <c r="BV67" s="30"/>
      <c r="BW67" s="30"/>
      <c r="BX67" s="30"/>
      <c r="BY67" s="30"/>
      <c r="BZ67" s="31"/>
      <c r="CA67" s="35">
        <f>CO67</f>
        <v>5.053394813775128</v>
      </c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7"/>
      <c r="CO67" s="35">
        <f t="shared" si="5"/>
        <v>5.053394813775128</v>
      </c>
      <c r="CP67" s="36" t="e">
        <f t="shared" si="6"/>
        <v>#VALUE!</v>
      </c>
      <c r="CQ67" s="36" t="e">
        <f t="shared" si="7"/>
        <v>#VALUE!</v>
      </c>
      <c r="CR67" s="36" t="e">
        <f t="shared" si="8"/>
        <v>#VALUE!</v>
      </c>
      <c r="CS67" s="36" t="e">
        <f t="shared" si="9"/>
        <v>#VALUE!</v>
      </c>
      <c r="CT67" s="36" t="e">
        <f t="shared" si="10"/>
        <v>#VALUE!</v>
      </c>
      <c r="CU67" s="36" t="e">
        <f t="shared" si="11"/>
        <v>#VALUE!</v>
      </c>
      <c r="CV67" s="36" t="e">
        <f t="shared" si="12"/>
        <v>#VALUE!</v>
      </c>
      <c r="CW67" s="36" t="e">
        <f t="shared" si="13"/>
        <v>#VALUE!</v>
      </c>
      <c r="CX67" s="36" t="e">
        <f t="shared" si="14"/>
        <v>#VALUE!</v>
      </c>
      <c r="CY67" s="36" t="e">
        <f t="shared" si="15"/>
        <v>#VALUE!</v>
      </c>
      <c r="CZ67" s="36" t="e">
        <f t="shared" si="16"/>
        <v>#VALUE!</v>
      </c>
      <c r="DA67" s="36" t="e">
        <f t="shared" si="17"/>
        <v>#VALUE!</v>
      </c>
      <c r="DB67" s="37" t="e">
        <f t="shared" si="18"/>
        <v>#VALUE!</v>
      </c>
      <c r="DC67" s="35">
        <f t="shared" si="19"/>
        <v>2.6953009454898567</v>
      </c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7"/>
      <c r="DQ67" s="16" t="s">
        <v>43</v>
      </c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8"/>
      <c r="EH67" s="16" t="s">
        <v>43</v>
      </c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8"/>
      <c r="EY67" s="16" t="s">
        <v>43</v>
      </c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8"/>
      <c r="FP67" s="16" t="s">
        <v>43</v>
      </c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8"/>
      <c r="GG67" s="35">
        <f>22.22*0.121300672614305</f>
        <v>2.6953009454898567</v>
      </c>
      <c r="GH67" s="36"/>
      <c r="GI67" s="36"/>
      <c r="GJ67" s="36"/>
      <c r="GK67" s="36"/>
      <c r="GL67" s="36"/>
      <c r="GM67" s="36"/>
      <c r="GN67" s="36"/>
      <c r="GO67" s="36"/>
      <c r="GP67" s="37"/>
      <c r="GQ67" s="35">
        <f>5.308*0.444252801108755</f>
        <v>2.3580938682852715</v>
      </c>
      <c r="GR67" s="36"/>
      <c r="GS67" s="36"/>
      <c r="GT67" s="36"/>
      <c r="GU67" s="36"/>
      <c r="GV67" s="36"/>
      <c r="GW67" s="36"/>
      <c r="GX67" s="36"/>
      <c r="GY67" s="36"/>
      <c r="GZ67" s="37"/>
      <c r="HA67" s="35">
        <v>0</v>
      </c>
      <c r="HB67" s="36"/>
      <c r="HC67" s="36"/>
      <c r="HD67" s="36"/>
      <c r="HE67" s="36"/>
      <c r="HF67" s="36"/>
      <c r="HG67" s="36"/>
      <c r="HH67" s="36"/>
      <c r="HI67" s="36"/>
      <c r="HJ67" s="37"/>
      <c r="HK67" s="35">
        <v>0</v>
      </c>
      <c r="HL67" s="36"/>
      <c r="HM67" s="36"/>
      <c r="HN67" s="36"/>
      <c r="HO67" s="36"/>
      <c r="HP67" s="36"/>
      <c r="HQ67" s="36"/>
      <c r="HR67" s="36"/>
      <c r="HS67" s="36"/>
      <c r="HT67" s="37"/>
      <c r="HU67" s="35">
        <v>0</v>
      </c>
      <c r="HV67" s="36"/>
      <c r="HW67" s="36"/>
      <c r="HX67" s="36"/>
      <c r="HY67" s="36"/>
      <c r="HZ67" s="36"/>
      <c r="IA67" s="36"/>
      <c r="IB67" s="36"/>
      <c r="IC67" s="36"/>
      <c r="ID67" s="37"/>
      <c r="IE67" s="35">
        <f t="shared" si="0"/>
        <v>5.053394813775128</v>
      </c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42"/>
    </row>
    <row r="68" spans="1:250" ht="51.75" customHeight="1">
      <c r="A68" s="26" t="s">
        <v>181</v>
      </c>
      <c r="B68" s="27"/>
      <c r="C68" s="27"/>
      <c r="D68" s="27"/>
      <c r="E68" s="28"/>
      <c r="F68" s="23" t="s">
        <v>100</v>
      </c>
      <c r="G68" s="24" t="s">
        <v>100</v>
      </c>
      <c r="H68" s="24" t="s">
        <v>100</v>
      </c>
      <c r="I68" s="24" t="s">
        <v>100</v>
      </c>
      <c r="J68" s="24" t="s">
        <v>100</v>
      </c>
      <c r="K68" s="24" t="s">
        <v>100</v>
      </c>
      <c r="L68" s="24" t="s">
        <v>100</v>
      </c>
      <c r="M68" s="24" t="s">
        <v>100</v>
      </c>
      <c r="N68" s="24" t="s">
        <v>100</v>
      </c>
      <c r="O68" s="24" t="s">
        <v>100</v>
      </c>
      <c r="P68" s="24" t="s">
        <v>100</v>
      </c>
      <c r="Q68" s="24" t="s">
        <v>100</v>
      </c>
      <c r="R68" s="24" t="s">
        <v>100</v>
      </c>
      <c r="S68" s="24" t="s">
        <v>100</v>
      </c>
      <c r="T68" s="24" t="s">
        <v>100</v>
      </c>
      <c r="U68" s="24" t="s">
        <v>100</v>
      </c>
      <c r="V68" s="24" t="s">
        <v>100</v>
      </c>
      <c r="W68" s="24" t="s">
        <v>100</v>
      </c>
      <c r="X68" s="24" t="s">
        <v>100</v>
      </c>
      <c r="Y68" s="24" t="s">
        <v>100</v>
      </c>
      <c r="Z68" s="24" t="s">
        <v>100</v>
      </c>
      <c r="AA68" s="24" t="s">
        <v>100</v>
      </c>
      <c r="AB68" s="24" t="s">
        <v>100</v>
      </c>
      <c r="AC68" s="24" t="s">
        <v>100</v>
      </c>
      <c r="AD68" s="24" t="s">
        <v>100</v>
      </c>
      <c r="AE68" s="25" t="s">
        <v>100</v>
      </c>
      <c r="AF68" s="16"/>
      <c r="AG68" s="17"/>
      <c r="AH68" s="17"/>
      <c r="AI68" s="17"/>
      <c r="AJ68" s="17"/>
      <c r="AK68" s="17"/>
      <c r="AL68" s="17"/>
      <c r="AM68" s="17"/>
      <c r="AN68" s="17"/>
      <c r="AO68" s="18"/>
      <c r="AP68" s="16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8"/>
      <c r="BG68" s="29">
        <v>22017</v>
      </c>
      <c r="BH68" s="30"/>
      <c r="BI68" s="30"/>
      <c r="BJ68" s="30"/>
      <c r="BK68" s="30"/>
      <c r="BL68" s="30"/>
      <c r="BM68" s="30"/>
      <c r="BN68" s="30"/>
      <c r="BO68" s="30"/>
      <c r="BP68" s="31"/>
      <c r="BQ68" s="29">
        <v>42017</v>
      </c>
      <c r="BR68" s="30"/>
      <c r="BS68" s="30"/>
      <c r="BT68" s="30"/>
      <c r="BU68" s="30"/>
      <c r="BV68" s="30"/>
      <c r="BW68" s="30"/>
      <c r="BX68" s="30"/>
      <c r="BY68" s="30"/>
      <c r="BZ68" s="31"/>
      <c r="CA68" s="35">
        <f>CO68</f>
        <v>6.49053342419891</v>
      </c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7"/>
      <c r="CO68" s="35">
        <f t="shared" si="5"/>
        <v>6.49053342419891</v>
      </c>
      <c r="CP68" s="36" t="e">
        <f t="shared" si="6"/>
        <v>#VALUE!</v>
      </c>
      <c r="CQ68" s="36" t="e">
        <f t="shared" si="7"/>
        <v>#VALUE!</v>
      </c>
      <c r="CR68" s="36" t="e">
        <f t="shared" si="8"/>
        <v>#VALUE!</v>
      </c>
      <c r="CS68" s="36" t="e">
        <f t="shared" si="9"/>
        <v>#VALUE!</v>
      </c>
      <c r="CT68" s="36" t="e">
        <f t="shared" si="10"/>
        <v>#VALUE!</v>
      </c>
      <c r="CU68" s="36" t="e">
        <f t="shared" si="11"/>
        <v>#VALUE!</v>
      </c>
      <c r="CV68" s="36" t="e">
        <f t="shared" si="12"/>
        <v>#VALUE!</v>
      </c>
      <c r="CW68" s="36" t="e">
        <f t="shared" si="13"/>
        <v>#VALUE!</v>
      </c>
      <c r="CX68" s="36" t="e">
        <f t="shared" si="14"/>
        <v>#VALUE!</v>
      </c>
      <c r="CY68" s="36" t="e">
        <f t="shared" si="15"/>
        <v>#VALUE!</v>
      </c>
      <c r="CZ68" s="36" t="e">
        <f t="shared" si="16"/>
        <v>#VALUE!</v>
      </c>
      <c r="DA68" s="36" t="e">
        <f t="shared" si="17"/>
        <v>#VALUE!</v>
      </c>
      <c r="DB68" s="37" t="e">
        <f t="shared" si="18"/>
        <v>#VALUE!</v>
      </c>
      <c r="DC68" s="35">
        <f t="shared" si="19"/>
        <v>0</v>
      </c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7"/>
      <c r="DQ68" s="16" t="s">
        <v>43</v>
      </c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8"/>
      <c r="EH68" s="16" t="s">
        <v>43</v>
      </c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8"/>
      <c r="EY68" s="16" t="s">
        <v>43</v>
      </c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8"/>
      <c r="FP68" s="16" t="s">
        <v>43</v>
      </c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8"/>
      <c r="GG68" s="35">
        <v>0</v>
      </c>
      <c r="GH68" s="36"/>
      <c r="GI68" s="36"/>
      <c r="GJ68" s="36"/>
      <c r="GK68" s="36"/>
      <c r="GL68" s="36"/>
      <c r="GM68" s="36"/>
      <c r="GN68" s="36"/>
      <c r="GO68" s="36"/>
      <c r="GP68" s="37"/>
      <c r="GQ68" s="35">
        <f>14.61*0.444252801108755</f>
        <v>6.49053342419891</v>
      </c>
      <c r="GR68" s="36"/>
      <c r="GS68" s="36"/>
      <c r="GT68" s="36"/>
      <c r="GU68" s="36"/>
      <c r="GV68" s="36"/>
      <c r="GW68" s="36"/>
      <c r="GX68" s="36"/>
      <c r="GY68" s="36"/>
      <c r="GZ68" s="37"/>
      <c r="HA68" s="35">
        <v>0</v>
      </c>
      <c r="HB68" s="36"/>
      <c r="HC68" s="36"/>
      <c r="HD68" s="36"/>
      <c r="HE68" s="36"/>
      <c r="HF68" s="36"/>
      <c r="HG68" s="36"/>
      <c r="HH68" s="36"/>
      <c r="HI68" s="36"/>
      <c r="HJ68" s="37"/>
      <c r="HK68" s="35">
        <v>0</v>
      </c>
      <c r="HL68" s="36"/>
      <c r="HM68" s="36"/>
      <c r="HN68" s="36"/>
      <c r="HO68" s="36"/>
      <c r="HP68" s="36"/>
      <c r="HQ68" s="36"/>
      <c r="HR68" s="36"/>
      <c r="HS68" s="36"/>
      <c r="HT68" s="37"/>
      <c r="HU68" s="35">
        <v>0</v>
      </c>
      <c r="HV68" s="36"/>
      <c r="HW68" s="36"/>
      <c r="HX68" s="36"/>
      <c r="HY68" s="36"/>
      <c r="HZ68" s="36"/>
      <c r="IA68" s="36"/>
      <c r="IB68" s="36"/>
      <c r="IC68" s="36"/>
      <c r="ID68" s="37"/>
      <c r="IE68" s="35">
        <f t="shared" si="0"/>
        <v>6.49053342419891</v>
      </c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42"/>
    </row>
    <row r="69" spans="1:250" ht="42.75" customHeight="1">
      <c r="A69" s="26" t="s">
        <v>182</v>
      </c>
      <c r="B69" s="27"/>
      <c r="C69" s="27"/>
      <c r="D69" s="27"/>
      <c r="E69" s="28"/>
      <c r="F69" s="23" t="s">
        <v>101</v>
      </c>
      <c r="G69" s="24" t="s">
        <v>101</v>
      </c>
      <c r="H69" s="24" t="s">
        <v>101</v>
      </c>
      <c r="I69" s="24" t="s">
        <v>101</v>
      </c>
      <c r="J69" s="24" t="s">
        <v>101</v>
      </c>
      <c r="K69" s="24" t="s">
        <v>101</v>
      </c>
      <c r="L69" s="24" t="s">
        <v>101</v>
      </c>
      <c r="M69" s="24" t="s">
        <v>101</v>
      </c>
      <c r="N69" s="24" t="s">
        <v>101</v>
      </c>
      <c r="O69" s="24" t="s">
        <v>101</v>
      </c>
      <c r="P69" s="24" t="s">
        <v>101</v>
      </c>
      <c r="Q69" s="24" t="s">
        <v>101</v>
      </c>
      <c r="R69" s="24" t="s">
        <v>101</v>
      </c>
      <c r="S69" s="24" t="s">
        <v>101</v>
      </c>
      <c r="T69" s="24" t="s">
        <v>101</v>
      </c>
      <c r="U69" s="24" t="s">
        <v>101</v>
      </c>
      <c r="V69" s="24" t="s">
        <v>101</v>
      </c>
      <c r="W69" s="24" t="s">
        <v>101</v>
      </c>
      <c r="X69" s="24" t="s">
        <v>101</v>
      </c>
      <c r="Y69" s="24" t="s">
        <v>101</v>
      </c>
      <c r="Z69" s="24" t="s">
        <v>101</v>
      </c>
      <c r="AA69" s="24" t="s">
        <v>101</v>
      </c>
      <c r="AB69" s="24" t="s">
        <v>101</v>
      </c>
      <c r="AC69" s="24" t="s">
        <v>101</v>
      </c>
      <c r="AD69" s="24" t="s">
        <v>101</v>
      </c>
      <c r="AE69" s="25" t="s">
        <v>101</v>
      </c>
      <c r="AF69" s="16"/>
      <c r="AG69" s="17"/>
      <c r="AH69" s="17"/>
      <c r="AI69" s="17"/>
      <c r="AJ69" s="17"/>
      <c r="AK69" s="17"/>
      <c r="AL69" s="17"/>
      <c r="AM69" s="17"/>
      <c r="AN69" s="17"/>
      <c r="AO69" s="18"/>
      <c r="AP69" s="16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8"/>
      <c r="BG69" s="29">
        <v>42016</v>
      </c>
      <c r="BH69" s="30"/>
      <c r="BI69" s="30"/>
      <c r="BJ69" s="30"/>
      <c r="BK69" s="30"/>
      <c r="BL69" s="30"/>
      <c r="BM69" s="30"/>
      <c r="BN69" s="30"/>
      <c r="BO69" s="30"/>
      <c r="BP69" s="31"/>
      <c r="BQ69" s="29">
        <v>42017</v>
      </c>
      <c r="BR69" s="30"/>
      <c r="BS69" s="30"/>
      <c r="BT69" s="30"/>
      <c r="BU69" s="30"/>
      <c r="BV69" s="30"/>
      <c r="BW69" s="30"/>
      <c r="BX69" s="30"/>
      <c r="BY69" s="30"/>
      <c r="BZ69" s="31"/>
      <c r="CA69" s="35">
        <f>CO69</f>
        <v>3.3448005732926376</v>
      </c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7"/>
      <c r="CO69" s="35">
        <f t="shared" si="5"/>
        <v>3.3448005732926376</v>
      </c>
      <c r="CP69" s="36" t="e">
        <f t="shared" si="6"/>
        <v>#VALUE!</v>
      </c>
      <c r="CQ69" s="36" t="e">
        <f t="shared" si="7"/>
        <v>#VALUE!</v>
      </c>
      <c r="CR69" s="36" t="e">
        <f t="shared" si="8"/>
        <v>#VALUE!</v>
      </c>
      <c r="CS69" s="36" t="e">
        <f t="shared" si="9"/>
        <v>#VALUE!</v>
      </c>
      <c r="CT69" s="36" t="e">
        <f t="shared" si="10"/>
        <v>#VALUE!</v>
      </c>
      <c r="CU69" s="36" t="e">
        <f t="shared" si="11"/>
        <v>#VALUE!</v>
      </c>
      <c r="CV69" s="36" t="e">
        <f t="shared" si="12"/>
        <v>#VALUE!</v>
      </c>
      <c r="CW69" s="36" t="e">
        <f t="shared" si="13"/>
        <v>#VALUE!</v>
      </c>
      <c r="CX69" s="36" t="e">
        <f t="shared" si="14"/>
        <v>#VALUE!</v>
      </c>
      <c r="CY69" s="36" t="e">
        <f t="shared" si="15"/>
        <v>#VALUE!</v>
      </c>
      <c r="CZ69" s="36" t="e">
        <f t="shared" si="16"/>
        <v>#VALUE!</v>
      </c>
      <c r="DA69" s="36" t="e">
        <f t="shared" si="17"/>
        <v>#VALUE!</v>
      </c>
      <c r="DB69" s="37" t="e">
        <f t="shared" si="18"/>
        <v>#VALUE!</v>
      </c>
      <c r="DC69" s="35">
        <f t="shared" si="19"/>
        <v>0.6792837666401079</v>
      </c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7"/>
      <c r="DQ69" s="16" t="s">
        <v>43</v>
      </c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8"/>
      <c r="EH69" s="16" t="s">
        <v>43</v>
      </c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8"/>
      <c r="EY69" s="16" t="s">
        <v>43</v>
      </c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8"/>
      <c r="FP69" s="16" t="s">
        <v>43</v>
      </c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8"/>
      <c r="GG69" s="35">
        <f>5.6*0.121300672614305</f>
        <v>0.6792837666401079</v>
      </c>
      <c r="GH69" s="36"/>
      <c r="GI69" s="36"/>
      <c r="GJ69" s="36"/>
      <c r="GK69" s="36"/>
      <c r="GL69" s="36"/>
      <c r="GM69" s="36"/>
      <c r="GN69" s="36"/>
      <c r="GO69" s="36"/>
      <c r="GP69" s="37"/>
      <c r="GQ69" s="35">
        <f>6*0.444252801108755</f>
        <v>2.66551680665253</v>
      </c>
      <c r="GR69" s="36"/>
      <c r="GS69" s="36"/>
      <c r="GT69" s="36"/>
      <c r="GU69" s="36"/>
      <c r="GV69" s="36"/>
      <c r="GW69" s="36"/>
      <c r="GX69" s="36"/>
      <c r="GY69" s="36"/>
      <c r="GZ69" s="37"/>
      <c r="HA69" s="35">
        <v>0</v>
      </c>
      <c r="HB69" s="36"/>
      <c r="HC69" s="36"/>
      <c r="HD69" s="36"/>
      <c r="HE69" s="36"/>
      <c r="HF69" s="36"/>
      <c r="HG69" s="36"/>
      <c r="HH69" s="36"/>
      <c r="HI69" s="36"/>
      <c r="HJ69" s="37"/>
      <c r="HK69" s="35">
        <v>0</v>
      </c>
      <c r="HL69" s="36"/>
      <c r="HM69" s="36"/>
      <c r="HN69" s="36"/>
      <c r="HO69" s="36"/>
      <c r="HP69" s="36"/>
      <c r="HQ69" s="36"/>
      <c r="HR69" s="36"/>
      <c r="HS69" s="36"/>
      <c r="HT69" s="37"/>
      <c r="HU69" s="35">
        <v>0</v>
      </c>
      <c r="HV69" s="36"/>
      <c r="HW69" s="36"/>
      <c r="HX69" s="36"/>
      <c r="HY69" s="36"/>
      <c r="HZ69" s="36"/>
      <c r="IA69" s="36"/>
      <c r="IB69" s="36"/>
      <c r="IC69" s="36"/>
      <c r="ID69" s="37"/>
      <c r="IE69" s="35">
        <f t="shared" si="0"/>
        <v>3.3448005732926376</v>
      </c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42"/>
    </row>
    <row r="70" spans="1:250" ht="32.25" customHeight="1">
      <c r="A70" s="13" t="s">
        <v>183</v>
      </c>
      <c r="B70" s="14"/>
      <c r="C70" s="14"/>
      <c r="D70" s="14"/>
      <c r="E70" s="15"/>
      <c r="F70" s="10" t="s">
        <v>184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2"/>
      <c r="AF70" s="16"/>
      <c r="AG70" s="17"/>
      <c r="AH70" s="17"/>
      <c r="AI70" s="17"/>
      <c r="AJ70" s="17"/>
      <c r="AK70" s="17"/>
      <c r="AL70" s="17"/>
      <c r="AM70" s="17"/>
      <c r="AN70" s="17"/>
      <c r="AO70" s="18"/>
      <c r="AP70" s="16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8"/>
      <c r="BG70" s="29"/>
      <c r="BH70" s="30"/>
      <c r="BI70" s="30"/>
      <c r="BJ70" s="30"/>
      <c r="BK70" s="30"/>
      <c r="BL70" s="30"/>
      <c r="BM70" s="30"/>
      <c r="BN70" s="30"/>
      <c r="BO70" s="30"/>
      <c r="BP70" s="31"/>
      <c r="BQ70" s="29"/>
      <c r="BR70" s="30"/>
      <c r="BS70" s="30"/>
      <c r="BT70" s="30"/>
      <c r="BU70" s="30"/>
      <c r="BV70" s="30"/>
      <c r="BW70" s="30"/>
      <c r="BX70" s="30"/>
      <c r="BY70" s="30"/>
      <c r="BZ70" s="31"/>
      <c r="CA70" s="32">
        <f>CA71+CA72+CA73+CA74</f>
        <v>0.21152903563453823</v>
      </c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4"/>
      <c r="CO70" s="35">
        <f t="shared" si="5"/>
        <v>0.2115290356345382</v>
      </c>
      <c r="CP70" s="36">
        <f t="shared" si="6"/>
        <v>0</v>
      </c>
      <c r="CQ70" s="36">
        <f t="shared" si="7"/>
        <v>0</v>
      </c>
      <c r="CR70" s="36">
        <f t="shared" si="8"/>
        <v>0</v>
      </c>
      <c r="CS70" s="36">
        <f t="shared" si="9"/>
        <v>0</v>
      </c>
      <c r="CT70" s="36">
        <f t="shared" si="10"/>
        <v>0</v>
      </c>
      <c r="CU70" s="36">
        <f t="shared" si="11"/>
        <v>0</v>
      </c>
      <c r="CV70" s="36">
        <f t="shared" si="12"/>
        <v>0</v>
      </c>
      <c r="CW70" s="36">
        <f t="shared" si="13"/>
        <v>0</v>
      </c>
      <c r="CX70" s="36">
        <f t="shared" si="14"/>
        <v>0</v>
      </c>
      <c r="CY70" s="36">
        <f t="shared" si="15"/>
        <v>0</v>
      </c>
      <c r="CZ70" s="36">
        <f t="shared" si="16"/>
        <v>0</v>
      </c>
      <c r="DA70" s="36">
        <f t="shared" si="17"/>
        <v>0</v>
      </c>
      <c r="DB70" s="37">
        <f t="shared" si="18"/>
        <v>0</v>
      </c>
      <c r="DC70" s="32">
        <f>DC71+DC72+DC73+DC74</f>
        <v>0.0605290356345382</v>
      </c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4"/>
      <c r="DQ70" s="16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8"/>
      <c r="EH70" s="16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8"/>
      <c r="EY70" s="16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8"/>
      <c r="FP70" s="16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8"/>
      <c r="GG70" s="32">
        <f>SUM(GG71:GP74)</f>
        <v>0.0605290356345382</v>
      </c>
      <c r="GH70" s="38"/>
      <c r="GI70" s="38"/>
      <c r="GJ70" s="38"/>
      <c r="GK70" s="38"/>
      <c r="GL70" s="38"/>
      <c r="GM70" s="38"/>
      <c r="GN70" s="38"/>
      <c r="GO70" s="38"/>
      <c r="GP70" s="39"/>
      <c r="GQ70" s="32">
        <f>SUM(GQ71:GZ74)</f>
        <v>0</v>
      </c>
      <c r="GR70" s="38"/>
      <c r="GS70" s="38"/>
      <c r="GT70" s="38"/>
      <c r="GU70" s="38"/>
      <c r="GV70" s="38"/>
      <c r="GW70" s="38"/>
      <c r="GX70" s="38"/>
      <c r="GY70" s="38"/>
      <c r="GZ70" s="39"/>
      <c r="HA70" s="32">
        <f>SUM(HA71:HJ74)</f>
        <v>0.151</v>
      </c>
      <c r="HB70" s="38"/>
      <c r="HC70" s="38"/>
      <c r="HD70" s="38"/>
      <c r="HE70" s="38"/>
      <c r="HF70" s="38"/>
      <c r="HG70" s="38"/>
      <c r="HH70" s="38"/>
      <c r="HI70" s="38"/>
      <c r="HJ70" s="39"/>
      <c r="HK70" s="32">
        <f>SUM(HK71:HT74)</f>
        <v>0</v>
      </c>
      <c r="HL70" s="38"/>
      <c r="HM70" s="38"/>
      <c r="HN70" s="38"/>
      <c r="HO70" s="38"/>
      <c r="HP70" s="38"/>
      <c r="HQ70" s="38"/>
      <c r="HR70" s="38"/>
      <c r="HS70" s="38"/>
      <c r="HT70" s="39"/>
      <c r="HU70" s="32">
        <f>SUM(HU71:ID74)</f>
        <v>0</v>
      </c>
      <c r="HV70" s="38"/>
      <c r="HW70" s="38"/>
      <c r="HX70" s="38"/>
      <c r="HY70" s="38"/>
      <c r="HZ70" s="38"/>
      <c r="IA70" s="38"/>
      <c r="IB70" s="38"/>
      <c r="IC70" s="38"/>
      <c r="ID70" s="39"/>
      <c r="IE70" s="32">
        <f t="shared" si="0"/>
        <v>0.2115290356345382</v>
      </c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40"/>
    </row>
    <row r="71" spans="1:250" ht="31.5" customHeight="1">
      <c r="A71" s="26" t="s">
        <v>185</v>
      </c>
      <c r="B71" s="27"/>
      <c r="C71" s="27"/>
      <c r="D71" s="27"/>
      <c r="E71" s="28"/>
      <c r="F71" s="23" t="s">
        <v>102</v>
      </c>
      <c r="G71" s="24" t="s">
        <v>102</v>
      </c>
      <c r="H71" s="24" t="s">
        <v>102</v>
      </c>
      <c r="I71" s="24" t="s">
        <v>102</v>
      </c>
      <c r="J71" s="24" t="s">
        <v>102</v>
      </c>
      <c r="K71" s="24" t="s">
        <v>102</v>
      </c>
      <c r="L71" s="24" t="s">
        <v>102</v>
      </c>
      <c r="M71" s="24" t="s">
        <v>102</v>
      </c>
      <c r="N71" s="24" t="s">
        <v>102</v>
      </c>
      <c r="O71" s="24" t="s">
        <v>102</v>
      </c>
      <c r="P71" s="24" t="s">
        <v>102</v>
      </c>
      <c r="Q71" s="24" t="s">
        <v>102</v>
      </c>
      <c r="R71" s="24" t="s">
        <v>102</v>
      </c>
      <c r="S71" s="24" t="s">
        <v>102</v>
      </c>
      <c r="T71" s="24" t="s">
        <v>102</v>
      </c>
      <c r="U71" s="24" t="s">
        <v>102</v>
      </c>
      <c r="V71" s="24" t="s">
        <v>102</v>
      </c>
      <c r="W71" s="24" t="s">
        <v>102</v>
      </c>
      <c r="X71" s="24" t="s">
        <v>102</v>
      </c>
      <c r="Y71" s="24" t="s">
        <v>102</v>
      </c>
      <c r="Z71" s="24" t="s">
        <v>102</v>
      </c>
      <c r="AA71" s="24" t="s">
        <v>102</v>
      </c>
      <c r="AB71" s="24" t="s">
        <v>102</v>
      </c>
      <c r="AC71" s="24" t="s">
        <v>102</v>
      </c>
      <c r="AD71" s="24" t="s">
        <v>102</v>
      </c>
      <c r="AE71" s="25" t="s">
        <v>102</v>
      </c>
      <c r="AF71" s="16"/>
      <c r="AG71" s="17"/>
      <c r="AH71" s="17"/>
      <c r="AI71" s="17"/>
      <c r="AJ71" s="17"/>
      <c r="AK71" s="17"/>
      <c r="AL71" s="17"/>
      <c r="AM71" s="17"/>
      <c r="AN71" s="17"/>
      <c r="AO71" s="18"/>
      <c r="AP71" s="16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8"/>
      <c r="BG71" s="29">
        <v>42016</v>
      </c>
      <c r="BH71" s="30"/>
      <c r="BI71" s="30"/>
      <c r="BJ71" s="30"/>
      <c r="BK71" s="30"/>
      <c r="BL71" s="30"/>
      <c r="BM71" s="30"/>
      <c r="BN71" s="30"/>
      <c r="BO71" s="30"/>
      <c r="BP71" s="31"/>
      <c r="BQ71" s="29">
        <v>42016</v>
      </c>
      <c r="BR71" s="30"/>
      <c r="BS71" s="30"/>
      <c r="BT71" s="30"/>
      <c r="BU71" s="30"/>
      <c r="BV71" s="30"/>
      <c r="BW71" s="30"/>
      <c r="BX71" s="30"/>
      <c r="BY71" s="30"/>
      <c r="BZ71" s="31"/>
      <c r="CA71" s="35">
        <f>CO71</f>
        <v>0.020257212326588937</v>
      </c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7"/>
      <c r="CO71" s="35">
        <f t="shared" si="5"/>
        <v>0.020257212326588937</v>
      </c>
      <c r="CP71" s="36" t="e">
        <f t="shared" si="6"/>
        <v>#VALUE!</v>
      </c>
      <c r="CQ71" s="36" t="e">
        <f t="shared" si="7"/>
        <v>#VALUE!</v>
      </c>
      <c r="CR71" s="36" t="e">
        <f t="shared" si="8"/>
        <v>#VALUE!</v>
      </c>
      <c r="CS71" s="36" t="e">
        <f t="shared" si="9"/>
        <v>#VALUE!</v>
      </c>
      <c r="CT71" s="36" t="e">
        <f t="shared" si="10"/>
        <v>#VALUE!</v>
      </c>
      <c r="CU71" s="36" t="e">
        <f t="shared" si="11"/>
        <v>#VALUE!</v>
      </c>
      <c r="CV71" s="36" t="e">
        <f t="shared" si="12"/>
        <v>#VALUE!</v>
      </c>
      <c r="CW71" s="36" t="e">
        <f t="shared" si="13"/>
        <v>#VALUE!</v>
      </c>
      <c r="CX71" s="36" t="e">
        <f t="shared" si="14"/>
        <v>#VALUE!</v>
      </c>
      <c r="CY71" s="36" t="e">
        <f t="shared" si="15"/>
        <v>#VALUE!</v>
      </c>
      <c r="CZ71" s="36" t="e">
        <f t="shared" si="16"/>
        <v>#VALUE!</v>
      </c>
      <c r="DA71" s="36" t="e">
        <f t="shared" si="17"/>
        <v>#VALUE!</v>
      </c>
      <c r="DB71" s="37" t="e">
        <f t="shared" si="18"/>
        <v>#VALUE!</v>
      </c>
      <c r="DC71" s="35">
        <f t="shared" si="19"/>
        <v>0.020257212326588937</v>
      </c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7"/>
      <c r="DQ71" s="16" t="s">
        <v>43</v>
      </c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8"/>
      <c r="EH71" s="16" t="s">
        <v>43</v>
      </c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8"/>
      <c r="EY71" s="16" t="s">
        <v>43</v>
      </c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8"/>
      <c r="FP71" s="16" t="s">
        <v>43</v>
      </c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8"/>
      <c r="GG71" s="35">
        <f>0.167*0.121300672614305</f>
        <v>0.020257212326588937</v>
      </c>
      <c r="GH71" s="36"/>
      <c r="GI71" s="36"/>
      <c r="GJ71" s="36"/>
      <c r="GK71" s="36"/>
      <c r="GL71" s="36"/>
      <c r="GM71" s="36"/>
      <c r="GN71" s="36"/>
      <c r="GO71" s="36"/>
      <c r="GP71" s="37"/>
      <c r="GQ71" s="35">
        <v>0</v>
      </c>
      <c r="GR71" s="36"/>
      <c r="GS71" s="36"/>
      <c r="GT71" s="36"/>
      <c r="GU71" s="36"/>
      <c r="GV71" s="36"/>
      <c r="GW71" s="36"/>
      <c r="GX71" s="36"/>
      <c r="GY71" s="36"/>
      <c r="GZ71" s="37"/>
      <c r="HA71" s="35">
        <v>0</v>
      </c>
      <c r="HB71" s="36"/>
      <c r="HC71" s="36"/>
      <c r="HD71" s="36"/>
      <c r="HE71" s="36"/>
      <c r="HF71" s="36"/>
      <c r="HG71" s="36"/>
      <c r="HH71" s="36"/>
      <c r="HI71" s="36"/>
      <c r="HJ71" s="37"/>
      <c r="HK71" s="35">
        <v>0</v>
      </c>
      <c r="HL71" s="36"/>
      <c r="HM71" s="36"/>
      <c r="HN71" s="36"/>
      <c r="HO71" s="36"/>
      <c r="HP71" s="36"/>
      <c r="HQ71" s="36"/>
      <c r="HR71" s="36"/>
      <c r="HS71" s="36"/>
      <c r="HT71" s="37"/>
      <c r="HU71" s="35">
        <v>0</v>
      </c>
      <c r="HV71" s="36"/>
      <c r="HW71" s="36"/>
      <c r="HX71" s="36"/>
      <c r="HY71" s="36"/>
      <c r="HZ71" s="36"/>
      <c r="IA71" s="36"/>
      <c r="IB71" s="36"/>
      <c r="IC71" s="36"/>
      <c r="ID71" s="37"/>
      <c r="IE71" s="35">
        <f t="shared" si="0"/>
        <v>0.020257212326588937</v>
      </c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42"/>
    </row>
    <row r="72" spans="1:251" ht="30" customHeight="1">
      <c r="A72" s="26" t="s">
        <v>186</v>
      </c>
      <c r="B72" s="27"/>
      <c r="C72" s="27"/>
      <c r="D72" s="27"/>
      <c r="E72" s="28"/>
      <c r="F72" s="23" t="s">
        <v>103</v>
      </c>
      <c r="G72" s="24" t="s">
        <v>103</v>
      </c>
      <c r="H72" s="24" t="s">
        <v>103</v>
      </c>
      <c r="I72" s="24" t="s">
        <v>103</v>
      </c>
      <c r="J72" s="24" t="s">
        <v>103</v>
      </c>
      <c r="K72" s="24" t="s">
        <v>103</v>
      </c>
      <c r="L72" s="24" t="s">
        <v>103</v>
      </c>
      <c r="M72" s="24" t="s">
        <v>103</v>
      </c>
      <c r="N72" s="24" t="s">
        <v>103</v>
      </c>
      <c r="O72" s="24" t="s">
        <v>103</v>
      </c>
      <c r="P72" s="24" t="s">
        <v>103</v>
      </c>
      <c r="Q72" s="24" t="s">
        <v>103</v>
      </c>
      <c r="R72" s="24" t="s">
        <v>103</v>
      </c>
      <c r="S72" s="24" t="s">
        <v>103</v>
      </c>
      <c r="T72" s="24" t="s">
        <v>103</v>
      </c>
      <c r="U72" s="24" t="s">
        <v>103</v>
      </c>
      <c r="V72" s="24" t="s">
        <v>103</v>
      </c>
      <c r="W72" s="24" t="s">
        <v>103</v>
      </c>
      <c r="X72" s="24" t="s">
        <v>103</v>
      </c>
      <c r="Y72" s="24" t="s">
        <v>103</v>
      </c>
      <c r="Z72" s="24" t="s">
        <v>103</v>
      </c>
      <c r="AA72" s="24" t="s">
        <v>103</v>
      </c>
      <c r="AB72" s="24" t="s">
        <v>103</v>
      </c>
      <c r="AC72" s="24" t="s">
        <v>103</v>
      </c>
      <c r="AD72" s="24" t="s">
        <v>103</v>
      </c>
      <c r="AE72" s="25" t="s">
        <v>103</v>
      </c>
      <c r="AF72" s="16"/>
      <c r="AG72" s="17"/>
      <c r="AH72" s="17"/>
      <c r="AI72" s="17"/>
      <c r="AJ72" s="17"/>
      <c r="AK72" s="17"/>
      <c r="AL72" s="17"/>
      <c r="AM72" s="17"/>
      <c r="AN72" s="17"/>
      <c r="AO72" s="18"/>
      <c r="AP72" s="16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8"/>
      <c r="BG72" s="29">
        <v>42016</v>
      </c>
      <c r="BH72" s="30"/>
      <c r="BI72" s="30"/>
      <c r="BJ72" s="30"/>
      <c r="BK72" s="30"/>
      <c r="BL72" s="30"/>
      <c r="BM72" s="30"/>
      <c r="BN72" s="30"/>
      <c r="BO72" s="30"/>
      <c r="BP72" s="31"/>
      <c r="BQ72" s="29">
        <v>42018</v>
      </c>
      <c r="BR72" s="30"/>
      <c r="BS72" s="30"/>
      <c r="BT72" s="30"/>
      <c r="BU72" s="30"/>
      <c r="BV72" s="30"/>
      <c r="BW72" s="30"/>
      <c r="BX72" s="30"/>
      <c r="BY72" s="30"/>
      <c r="BZ72" s="31"/>
      <c r="CA72" s="35">
        <f>CO72</f>
        <v>0.1676181921481598</v>
      </c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7"/>
      <c r="CO72" s="35">
        <f t="shared" si="5"/>
        <v>0.1676181921481598</v>
      </c>
      <c r="CP72" s="36" t="e">
        <f t="shared" si="6"/>
        <v>#VALUE!</v>
      </c>
      <c r="CQ72" s="36" t="e">
        <f t="shared" si="7"/>
        <v>#VALUE!</v>
      </c>
      <c r="CR72" s="36" t="e">
        <f t="shared" si="8"/>
        <v>#VALUE!</v>
      </c>
      <c r="CS72" s="36" t="e">
        <f t="shared" si="9"/>
        <v>#VALUE!</v>
      </c>
      <c r="CT72" s="36" t="e">
        <f t="shared" si="10"/>
        <v>#VALUE!</v>
      </c>
      <c r="CU72" s="36" t="e">
        <f t="shared" si="11"/>
        <v>#VALUE!</v>
      </c>
      <c r="CV72" s="36" t="e">
        <f t="shared" si="12"/>
        <v>#VALUE!</v>
      </c>
      <c r="CW72" s="36" t="e">
        <f t="shared" si="13"/>
        <v>#VALUE!</v>
      </c>
      <c r="CX72" s="36" t="e">
        <f t="shared" si="14"/>
        <v>#VALUE!</v>
      </c>
      <c r="CY72" s="36" t="e">
        <f t="shared" si="15"/>
        <v>#VALUE!</v>
      </c>
      <c r="CZ72" s="36" t="e">
        <f t="shared" si="16"/>
        <v>#VALUE!</v>
      </c>
      <c r="DA72" s="36" t="e">
        <f t="shared" si="17"/>
        <v>#VALUE!</v>
      </c>
      <c r="DB72" s="37" t="e">
        <f t="shared" si="18"/>
        <v>#VALUE!</v>
      </c>
      <c r="DC72" s="35">
        <f t="shared" si="19"/>
        <v>0.016618192148159787</v>
      </c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7"/>
      <c r="DQ72" s="16" t="s">
        <v>43</v>
      </c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8"/>
      <c r="EH72" s="16" t="s">
        <v>43</v>
      </c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8"/>
      <c r="EY72" s="16" t="s">
        <v>43</v>
      </c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8"/>
      <c r="FP72" s="16" t="s">
        <v>43</v>
      </c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8"/>
      <c r="GG72" s="35">
        <f>0.137*0.121300672614305</f>
        <v>0.016618192148159787</v>
      </c>
      <c r="GH72" s="36"/>
      <c r="GI72" s="36"/>
      <c r="GJ72" s="36"/>
      <c r="GK72" s="36"/>
      <c r="GL72" s="36"/>
      <c r="GM72" s="36"/>
      <c r="GN72" s="36"/>
      <c r="GO72" s="36"/>
      <c r="GP72" s="37"/>
      <c r="GQ72" s="35">
        <v>0</v>
      </c>
      <c r="GR72" s="36"/>
      <c r="GS72" s="36"/>
      <c r="GT72" s="36"/>
      <c r="GU72" s="36"/>
      <c r="GV72" s="36"/>
      <c r="GW72" s="36"/>
      <c r="GX72" s="36"/>
      <c r="GY72" s="36"/>
      <c r="GZ72" s="37"/>
      <c r="HA72" s="35">
        <v>0.151</v>
      </c>
      <c r="HB72" s="36"/>
      <c r="HC72" s="36"/>
      <c r="HD72" s="36"/>
      <c r="HE72" s="36"/>
      <c r="HF72" s="36"/>
      <c r="HG72" s="36"/>
      <c r="HH72" s="36"/>
      <c r="HI72" s="36"/>
      <c r="HJ72" s="37"/>
      <c r="HK72" s="35">
        <v>0</v>
      </c>
      <c r="HL72" s="36"/>
      <c r="HM72" s="36"/>
      <c r="HN72" s="36"/>
      <c r="HO72" s="36"/>
      <c r="HP72" s="36"/>
      <c r="HQ72" s="36"/>
      <c r="HR72" s="36"/>
      <c r="HS72" s="36"/>
      <c r="HT72" s="37"/>
      <c r="HU72" s="35">
        <v>0</v>
      </c>
      <c r="HV72" s="36"/>
      <c r="HW72" s="36"/>
      <c r="HX72" s="36"/>
      <c r="HY72" s="36"/>
      <c r="HZ72" s="36"/>
      <c r="IA72" s="36"/>
      <c r="IB72" s="36"/>
      <c r="IC72" s="36"/>
      <c r="ID72" s="37"/>
      <c r="IE72" s="35">
        <f t="shared" si="0"/>
        <v>0.1676181921481598</v>
      </c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42"/>
      <c r="IQ72" s="8"/>
    </row>
    <row r="73" spans="1:251" ht="30" customHeight="1">
      <c r="A73" s="26" t="s">
        <v>187</v>
      </c>
      <c r="B73" s="27"/>
      <c r="C73" s="27"/>
      <c r="D73" s="27"/>
      <c r="E73" s="28"/>
      <c r="F73" s="23" t="s">
        <v>104</v>
      </c>
      <c r="G73" s="24" t="s">
        <v>104</v>
      </c>
      <c r="H73" s="24" t="s">
        <v>104</v>
      </c>
      <c r="I73" s="24" t="s">
        <v>104</v>
      </c>
      <c r="J73" s="24" t="s">
        <v>104</v>
      </c>
      <c r="K73" s="24" t="s">
        <v>104</v>
      </c>
      <c r="L73" s="24" t="s">
        <v>104</v>
      </c>
      <c r="M73" s="24" t="s">
        <v>104</v>
      </c>
      <c r="N73" s="24" t="s">
        <v>104</v>
      </c>
      <c r="O73" s="24" t="s">
        <v>104</v>
      </c>
      <c r="P73" s="24" t="s">
        <v>104</v>
      </c>
      <c r="Q73" s="24" t="s">
        <v>104</v>
      </c>
      <c r="R73" s="24" t="s">
        <v>104</v>
      </c>
      <c r="S73" s="24" t="s">
        <v>104</v>
      </c>
      <c r="T73" s="24" t="s">
        <v>104</v>
      </c>
      <c r="U73" s="24" t="s">
        <v>104</v>
      </c>
      <c r="V73" s="24" t="s">
        <v>104</v>
      </c>
      <c r="W73" s="24" t="s">
        <v>104</v>
      </c>
      <c r="X73" s="24" t="s">
        <v>104</v>
      </c>
      <c r="Y73" s="24" t="s">
        <v>104</v>
      </c>
      <c r="Z73" s="24" t="s">
        <v>104</v>
      </c>
      <c r="AA73" s="24" t="s">
        <v>104</v>
      </c>
      <c r="AB73" s="24" t="s">
        <v>104</v>
      </c>
      <c r="AC73" s="24" t="s">
        <v>104</v>
      </c>
      <c r="AD73" s="24" t="s">
        <v>104</v>
      </c>
      <c r="AE73" s="25" t="s">
        <v>104</v>
      </c>
      <c r="AF73" s="16"/>
      <c r="AG73" s="17"/>
      <c r="AH73" s="17"/>
      <c r="AI73" s="17"/>
      <c r="AJ73" s="17"/>
      <c r="AK73" s="17"/>
      <c r="AL73" s="17"/>
      <c r="AM73" s="17"/>
      <c r="AN73" s="17"/>
      <c r="AO73" s="18"/>
      <c r="AP73" s="16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8"/>
      <c r="BG73" s="29">
        <v>12016</v>
      </c>
      <c r="BH73" s="30"/>
      <c r="BI73" s="30"/>
      <c r="BJ73" s="30"/>
      <c r="BK73" s="30"/>
      <c r="BL73" s="30"/>
      <c r="BM73" s="30"/>
      <c r="BN73" s="30"/>
      <c r="BO73" s="30"/>
      <c r="BP73" s="31"/>
      <c r="BQ73" s="29">
        <v>42016</v>
      </c>
      <c r="BR73" s="30"/>
      <c r="BS73" s="30"/>
      <c r="BT73" s="30"/>
      <c r="BU73" s="30"/>
      <c r="BV73" s="30"/>
      <c r="BW73" s="30"/>
      <c r="BX73" s="30"/>
      <c r="BY73" s="30"/>
      <c r="BZ73" s="31"/>
      <c r="CA73" s="35">
        <f>CO73</f>
        <v>0.00703543901162969</v>
      </c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7"/>
      <c r="CO73" s="35">
        <f t="shared" si="5"/>
        <v>0.00703543901162969</v>
      </c>
      <c r="CP73" s="36" t="e">
        <f t="shared" si="6"/>
        <v>#VALUE!</v>
      </c>
      <c r="CQ73" s="36" t="e">
        <f t="shared" si="7"/>
        <v>#VALUE!</v>
      </c>
      <c r="CR73" s="36" t="e">
        <f t="shared" si="8"/>
        <v>#VALUE!</v>
      </c>
      <c r="CS73" s="36" t="e">
        <f t="shared" si="9"/>
        <v>#VALUE!</v>
      </c>
      <c r="CT73" s="36" t="e">
        <f t="shared" si="10"/>
        <v>#VALUE!</v>
      </c>
      <c r="CU73" s="36" t="e">
        <f t="shared" si="11"/>
        <v>#VALUE!</v>
      </c>
      <c r="CV73" s="36" t="e">
        <f t="shared" si="12"/>
        <v>#VALUE!</v>
      </c>
      <c r="CW73" s="36" t="e">
        <f t="shared" si="13"/>
        <v>#VALUE!</v>
      </c>
      <c r="CX73" s="36" t="e">
        <f t="shared" si="14"/>
        <v>#VALUE!</v>
      </c>
      <c r="CY73" s="36" t="e">
        <f t="shared" si="15"/>
        <v>#VALUE!</v>
      </c>
      <c r="CZ73" s="36" t="e">
        <f t="shared" si="16"/>
        <v>#VALUE!</v>
      </c>
      <c r="DA73" s="36" t="e">
        <f t="shared" si="17"/>
        <v>#VALUE!</v>
      </c>
      <c r="DB73" s="37" t="e">
        <f t="shared" si="18"/>
        <v>#VALUE!</v>
      </c>
      <c r="DC73" s="35">
        <f t="shared" si="19"/>
        <v>0.00703543901162969</v>
      </c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7"/>
      <c r="DQ73" s="16" t="s">
        <v>43</v>
      </c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8"/>
      <c r="EH73" s="16" t="s">
        <v>43</v>
      </c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8"/>
      <c r="EY73" s="16" t="s">
        <v>43</v>
      </c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8"/>
      <c r="FP73" s="16" t="s">
        <v>43</v>
      </c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8"/>
      <c r="GG73" s="35">
        <f>0.058*0.121300672614305</f>
        <v>0.00703543901162969</v>
      </c>
      <c r="GH73" s="36"/>
      <c r="GI73" s="36"/>
      <c r="GJ73" s="36"/>
      <c r="GK73" s="36"/>
      <c r="GL73" s="36"/>
      <c r="GM73" s="36"/>
      <c r="GN73" s="36"/>
      <c r="GO73" s="36"/>
      <c r="GP73" s="37"/>
      <c r="GQ73" s="35">
        <v>0</v>
      </c>
      <c r="GR73" s="36"/>
      <c r="GS73" s="36"/>
      <c r="GT73" s="36"/>
      <c r="GU73" s="36"/>
      <c r="GV73" s="36"/>
      <c r="GW73" s="36"/>
      <c r="GX73" s="36"/>
      <c r="GY73" s="36"/>
      <c r="GZ73" s="37"/>
      <c r="HA73" s="35">
        <v>0</v>
      </c>
      <c r="HB73" s="36"/>
      <c r="HC73" s="36"/>
      <c r="HD73" s="36"/>
      <c r="HE73" s="36"/>
      <c r="HF73" s="36"/>
      <c r="HG73" s="36"/>
      <c r="HH73" s="36"/>
      <c r="HI73" s="36"/>
      <c r="HJ73" s="37"/>
      <c r="HK73" s="35">
        <v>0</v>
      </c>
      <c r="HL73" s="36"/>
      <c r="HM73" s="36"/>
      <c r="HN73" s="36"/>
      <c r="HO73" s="36"/>
      <c r="HP73" s="36"/>
      <c r="HQ73" s="36"/>
      <c r="HR73" s="36"/>
      <c r="HS73" s="36"/>
      <c r="HT73" s="37"/>
      <c r="HU73" s="35">
        <v>0</v>
      </c>
      <c r="HV73" s="36"/>
      <c r="HW73" s="36"/>
      <c r="HX73" s="36"/>
      <c r="HY73" s="36"/>
      <c r="HZ73" s="36"/>
      <c r="IA73" s="36"/>
      <c r="IB73" s="36"/>
      <c r="IC73" s="36"/>
      <c r="ID73" s="37"/>
      <c r="IE73" s="35">
        <f t="shared" si="0"/>
        <v>0.00703543901162969</v>
      </c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42"/>
      <c r="IQ73" s="8"/>
    </row>
    <row r="74" spans="1:251" ht="26.25" customHeight="1">
      <c r="A74" s="26" t="s">
        <v>188</v>
      </c>
      <c r="B74" s="27"/>
      <c r="C74" s="27"/>
      <c r="D74" s="27"/>
      <c r="E74" s="28"/>
      <c r="F74" s="23" t="s">
        <v>105</v>
      </c>
      <c r="G74" s="24" t="s">
        <v>105</v>
      </c>
      <c r="H74" s="24" t="s">
        <v>105</v>
      </c>
      <c r="I74" s="24" t="s">
        <v>105</v>
      </c>
      <c r="J74" s="24" t="s">
        <v>105</v>
      </c>
      <c r="K74" s="24" t="s">
        <v>105</v>
      </c>
      <c r="L74" s="24" t="s">
        <v>105</v>
      </c>
      <c r="M74" s="24" t="s">
        <v>105</v>
      </c>
      <c r="N74" s="24" t="s">
        <v>105</v>
      </c>
      <c r="O74" s="24" t="s">
        <v>105</v>
      </c>
      <c r="P74" s="24" t="s">
        <v>105</v>
      </c>
      <c r="Q74" s="24" t="s">
        <v>105</v>
      </c>
      <c r="R74" s="24" t="s">
        <v>105</v>
      </c>
      <c r="S74" s="24" t="s">
        <v>105</v>
      </c>
      <c r="T74" s="24" t="s">
        <v>105</v>
      </c>
      <c r="U74" s="24" t="s">
        <v>105</v>
      </c>
      <c r="V74" s="24" t="s">
        <v>105</v>
      </c>
      <c r="W74" s="24" t="s">
        <v>105</v>
      </c>
      <c r="X74" s="24" t="s">
        <v>105</v>
      </c>
      <c r="Y74" s="24" t="s">
        <v>105</v>
      </c>
      <c r="Z74" s="24" t="s">
        <v>105</v>
      </c>
      <c r="AA74" s="24" t="s">
        <v>105</v>
      </c>
      <c r="AB74" s="24" t="s">
        <v>105</v>
      </c>
      <c r="AC74" s="24" t="s">
        <v>105</v>
      </c>
      <c r="AD74" s="24" t="s">
        <v>105</v>
      </c>
      <c r="AE74" s="25" t="s">
        <v>105</v>
      </c>
      <c r="AF74" s="16"/>
      <c r="AG74" s="17"/>
      <c r="AH74" s="17"/>
      <c r="AI74" s="17"/>
      <c r="AJ74" s="17"/>
      <c r="AK74" s="17"/>
      <c r="AL74" s="17"/>
      <c r="AM74" s="17"/>
      <c r="AN74" s="17"/>
      <c r="AO74" s="18"/>
      <c r="AP74" s="16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8"/>
      <c r="BG74" s="29">
        <v>42016</v>
      </c>
      <c r="BH74" s="30"/>
      <c r="BI74" s="30"/>
      <c r="BJ74" s="30"/>
      <c r="BK74" s="30"/>
      <c r="BL74" s="30"/>
      <c r="BM74" s="30"/>
      <c r="BN74" s="30"/>
      <c r="BO74" s="30"/>
      <c r="BP74" s="31"/>
      <c r="BQ74" s="29">
        <v>42016</v>
      </c>
      <c r="BR74" s="30"/>
      <c r="BS74" s="30"/>
      <c r="BT74" s="30"/>
      <c r="BU74" s="30"/>
      <c r="BV74" s="30"/>
      <c r="BW74" s="30"/>
      <c r="BX74" s="30"/>
      <c r="BY74" s="30"/>
      <c r="BZ74" s="31"/>
      <c r="CA74" s="35">
        <f>CO74</f>
        <v>0.016618192148159787</v>
      </c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7"/>
      <c r="CO74" s="35">
        <f t="shared" si="5"/>
        <v>0.016618192148159787</v>
      </c>
      <c r="CP74" s="36" t="e">
        <f t="shared" si="6"/>
        <v>#VALUE!</v>
      </c>
      <c r="CQ74" s="36" t="e">
        <f t="shared" si="7"/>
        <v>#VALUE!</v>
      </c>
      <c r="CR74" s="36" t="e">
        <f t="shared" si="8"/>
        <v>#VALUE!</v>
      </c>
      <c r="CS74" s="36" t="e">
        <f t="shared" si="9"/>
        <v>#VALUE!</v>
      </c>
      <c r="CT74" s="36" t="e">
        <f t="shared" si="10"/>
        <v>#VALUE!</v>
      </c>
      <c r="CU74" s="36" t="e">
        <f t="shared" si="11"/>
        <v>#VALUE!</v>
      </c>
      <c r="CV74" s="36" t="e">
        <f t="shared" si="12"/>
        <v>#VALUE!</v>
      </c>
      <c r="CW74" s="36" t="e">
        <f t="shared" si="13"/>
        <v>#VALUE!</v>
      </c>
      <c r="CX74" s="36" t="e">
        <f t="shared" si="14"/>
        <v>#VALUE!</v>
      </c>
      <c r="CY74" s="36" t="e">
        <f t="shared" si="15"/>
        <v>#VALUE!</v>
      </c>
      <c r="CZ74" s="36" t="e">
        <f t="shared" si="16"/>
        <v>#VALUE!</v>
      </c>
      <c r="DA74" s="36" t="e">
        <f t="shared" si="17"/>
        <v>#VALUE!</v>
      </c>
      <c r="DB74" s="37" t="e">
        <f t="shared" si="18"/>
        <v>#VALUE!</v>
      </c>
      <c r="DC74" s="35">
        <f t="shared" si="19"/>
        <v>0.016618192148159787</v>
      </c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7"/>
      <c r="DQ74" s="16" t="s">
        <v>43</v>
      </c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8"/>
      <c r="EH74" s="16" t="s">
        <v>43</v>
      </c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8"/>
      <c r="EY74" s="16" t="s">
        <v>43</v>
      </c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8"/>
      <c r="FP74" s="16" t="s">
        <v>43</v>
      </c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8"/>
      <c r="GG74" s="35">
        <f>0.137*0.121300672614305</f>
        <v>0.016618192148159787</v>
      </c>
      <c r="GH74" s="36"/>
      <c r="GI74" s="36"/>
      <c r="GJ74" s="36"/>
      <c r="GK74" s="36"/>
      <c r="GL74" s="36"/>
      <c r="GM74" s="36"/>
      <c r="GN74" s="36"/>
      <c r="GO74" s="36"/>
      <c r="GP74" s="37"/>
      <c r="GQ74" s="35">
        <v>0</v>
      </c>
      <c r="GR74" s="36"/>
      <c r="GS74" s="36"/>
      <c r="GT74" s="36"/>
      <c r="GU74" s="36"/>
      <c r="GV74" s="36"/>
      <c r="GW74" s="36"/>
      <c r="GX74" s="36"/>
      <c r="GY74" s="36"/>
      <c r="GZ74" s="37"/>
      <c r="HA74" s="35">
        <v>0</v>
      </c>
      <c r="HB74" s="36"/>
      <c r="HC74" s="36"/>
      <c r="HD74" s="36"/>
      <c r="HE74" s="36"/>
      <c r="HF74" s="36"/>
      <c r="HG74" s="36"/>
      <c r="HH74" s="36"/>
      <c r="HI74" s="36"/>
      <c r="HJ74" s="37"/>
      <c r="HK74" s="35">
        <v>0</v>
      </c>
      <c r="HL74" s="36"/>
      <c r="HM74" s="36"/>
      <c r="HN74" s="36"/>
      <c r="HO74" s="36"/>
      <c r="HP74" s="36"/>
      <c r="HQ74" s="36"/>
      <c r="HR74" s="36"/>
      <c r="HS74" s="36"/>
      <c r="HT74" s="37"/>
      <c r="HU74" s="35">
        <v>0</v>
      </c>
      <c r="HV74" s="36"/>
      <c r="HW74" s="36"/>
      <c r="HX74" s="36"/>
      <c r="HY74" s="36"/>
      <c r="HZ74" s="36"/>
      <c r="IA74" s="36"/>
      <c r="IB74" s="36"/>
      <c r="IC74" s="36"/>
      <c r="ID74" s="37"/>
      <c r="IE74" s="35">
        <f t="shared" si="0"/>
        <v>0.016618192148159787</v>
      </c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42"/>
      <c r="IQ74" s="8"/>
    </row>
    <row r="75" spans="1:251" ht="40.5" customHeight="1">
      <c r="A75" s="13" t="s">
        <v>189</v>
      </c>
      <c r="B75" s="14"/>
      <c r="C75" s="14"/>
      <c r="D75" s="14"/>
      <c r="E75" s="15"/>
      <c r="F75" s="10" t="s">
        <v>190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2"/>
      <c r="AF75" s="16"/>
      <c r="AG75" s="17"/>
      <c r="AH75" s="17"/>
      <c r="AI75" s="17"/>
      <c r="AJ75" s="17"/>
      <c r="AK75" s="17"/>
      <c r="AL75" s="17"/>
      <c r="AM75" s="17"/>
      <c r="AN75" s="17"/>
      <c r="AO75" s="18"/>
      <c r="AP75" s="16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8"/>
      <c r="BG75" s="29"/>
      <c r="BH75" s="30"/>
      <c r="BI75" s="30"/>
      <c r="BJ75" s="30"/>
      <c r="BK75" s="30"/>
      <c r="BL75" s="30"/>
      <c r="BM75" s="30"/>
      <c r="BN75" s="30"/>
      <c r="BO75" s="30"/>
      <c r="BP75" s="31"/>
      <c r="BQ75" s="29"/>
      <c r="BR75" s="30"/>
      <c r="BS75" s="30"/>
      <c r="BT75" s="30"/>
      <c r="BU75" s="30"/>
      <c r="BV75" s="30"/>
      <c r="BW75" s="30"/>
      <c r="BX75" s="30"/>
      <c r="BY75" s="30"/>
      <c r="BZ75" s="31"/>
      <c r="CA75" s="32">
        <f>SUM(CA76:CN85)</f>
        <v>22.821834628584547</v>
      </c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4"/>
      <c r="CO75" s="32">
        <f>SUM(CO76:DB85)</f>
        <v>22.821834628584547</v>
      </c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4"/>
      <c r="DC75" s="32">
        <f>SUM(DC76:DP85)</f>
        <v>3.235574141313971</v>
      </c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4"/>
      <c r="DQ75" s="16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8"/>
      <c r="EH75" s="16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8"/>
      <c r="EY75" s="16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8"/>
      <c r="FP75" s="16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8"/>
      <c r="GG75" s="32">
        <f>SUM(GG76:GP85)</f>
        <v>3.235574141313971</v>
      </c>
      <c r="GH75" s="33"/>
      <c r="GI75" s="33"/>
      <c r="GJ75" s="33"/>
      <c r="GK75" s="33"/>
      <c r="GL75" s="33"/>
      <c r="GM75" s="33"/>
      <c r="GN75" s="33"/>
      <c r="GO75" s="33"/>
      <c r="GP75" s="34"/>
      <c r="GQ75" s="32">
        <f>SUM(GQ76:GZ85)</f>
        <v>3.613996537019722</v>
      </c>
      <c r="GR75" s="33"/>
      <c r="GS75" s="33"/>
      <c r="GT75" s="33"/>
      <c r="GU75" s="33"/>
      <c r="GV75" s="33"/>
      <c r="GW75" s="33"/>
      <c r="GX75" s="33"/>
      <c r="GY75" s="33"/>
      <c r="GZ75" s="34"/>
      <c r="HA75" s="32">
        <f>SUM(HA76:HJ85)</f>
        <v>8.659999999999998</v>
      </c>
      <c r="HB75" s="33"/>
      <c r="HC75" s="33"/>
      <c r="HD75" s="33"/>
      <c r="HE75" s="33"/>
      <c r="HF75" s="33"/>
      <c r="HG75" s="33"/>
      <c r="HH75" s="33"/>
      <c r="HI75" s="33"/>
      <c r="HJ75" s="34"/>
      <c r="HK75" s="32">
        <f>SUM(HK76:HT85)</f>
        <v>2.809263950250855</v>
      </c>
      <c r="HL75" s="33"/>
      <c r="HM75" s="33"/>
      <c r="HN75" s="33"/>
      <c r="HO75" s="33"/>
      <c r="HP75" s="33"/>
      <c r="HQ75" s="33"/>
      <c r="HR75" s="33"/>
      <c r="HS75" s="33"/>
      <c r="HT75" s="34"/>
      <c r="HU75" s="32">
        <f>SUM(HU76:ID85)</f>
        <v>4.503</v>
      </c>
      <c r="HV75" s="33"/>
      <c r="HW75" s="33"/>
      <c r="HX75" s="33"/>
      <c r="HY75" s="33"/>
      <c r="HZ75" s="33"/>
      <c r="IA75" s="33"/>
      <c r="IB75" s="33"/>
      <c r="IC75" s="33"/>
      <c r="ID75" s="34"/>
      <c r="IE75" s="32">
        <f t="shared" si="0"/>
        <v>22.821834628584547</v>
      </c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41"/>
      <c r="IQ75" s="8"/>
    </row>
    <row r="76" spans="1:251" ht="38.25" customHeight="1">
      <c r="A76" s="26" t="s">
        <v>191</v>
      </c>
      <c r="B76" s="27"/>
      <c r="C76" s="27"/>
      <c r="D76" s="27"/>
      <c r="E76" s="28"/>
      <c r="F76" s="23" t="s">
        <v>106</v>
      </c>
      <c r="G76" s="24" t="s">
        <v>106</v>
      </c>
      <c r="H76" s="24" t="s">
        <v>106</v>
      </c>
      <c r="I76" s="24" t="s">
        <v>106</v>
      </c>
      <c r="J76" s="24" t="s">
        <v>106</v>
      </c>
      <c r="K76" s="24" t="s">
        <v>106</v>
      </c>
      <c r="L76" s="24" t="s">
        <v>106</v>
      </c>
      <c r="M76" s="24" t="s">
        <v>106</v>
      </c>
      <c r="N76" s="24" t="s">
        <v>106</v>
      </c>
      <c r="O76" s="24" t="s">
        <v>106</v>
      </c>
      <c r="P76" s="24" t="s">
        <v>106</v>
      </c>
      <c r="Q76" s="24" t="s">
        <v>106</v>
      </c>
      <c r="R76" s="24" t="s">
        <v>106</v>
      </c>
      <c r="S76" s="24" t="s">
        <v>106</v>
      </c>
      <c r="T76" s="24" t="s">
        <v>106</v>
      </c>
      <c r="U76" s="24" t="s">
        <v>106</v>
      </c>
      <c r="V76" s="24" t="s">
        <v>106</v>
      </c>
      <c r="W76" s="24" t="s">
        <v>106</v>
      </c>
      <c r="X76" s="24" t="s">
        <v>106</v>
      </c>
      <c r="Y76" s="24" t="s">
        <v>106</v>
      </c>
      <c r="Z76" s="24" t="s">
        <v>106</v>
      </c>
      <c r="AA76" s="24" t="s">
        <v>106</v>
      </c>
      <c r="AB76" s="24" t="s">
        <v>106</v>
      </c>
      <c r="AC76" s="24" t="s">
        <v>106</v>
      </c>
      <c r="AD76" s="24" t="s">
        <v>106</v>
      </c>
      <c r="AE76" s="25" t="s">
        <v>106</v>
      </c>
      <c r="AF76" s="16"/>
      <c r="AG76" s="17"/>
      <c r="AH76" s="17"/>
      <c r="AI76" s="17"/>
      <c r="AJ76" s="17"/>
      <c r="AK76" s="17"/>
      <c r="AL76" s="17"/>
      <c r="AM76" s="17"/>
      <c r="AN76" s="17"/>
      <c r="AO76" s="18"/>
      <c r="AP76" s="16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8"/>
      <c r="BG76" s="29">
        <v>42016</v>
      </c>
      <c r="BH76" s="30"/>
      <c r="BI76" s="30"/>
      <c r="BJ76" s="30"/>
      <c r="BK76" s="30"/>
      <c r="BL76" s="30"/>
      <c r="BM76" s="30"/>
      <c r="BN76" s="30"/>
      <c r="BO76" s="30"/>
      <c r="BP76" s="31"/>
      <c r="BQ76" s="29">
        <v>42016</v>
      </c>
      <c r="BR76" s="30"/>
      <c r="BS76" s="30"/>
      <c r="BT76" s="30"/>
      <c r="BU76" s="30"/>
      <c r="BV76" s="30"/>
      <c r="BW76" s="30"/>
      <c r="BX76" s="30"/>
      <c r="BY76" s="30"/>
      <c r="BZ76" s="31"/>
      <c r="CA76" s="35">
        <f>CO76</f>
        <v>0.34158269408188285</v>
      </c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7"/>
      <c r="CO76" s="35">
        <f>IE76</f>
        <v>0.34158269408188285</v>
      </c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7"/>
      <c r="DC76" s="35">
        <f>GG76</f>
        <v>0.34158269408188285</v>
      </c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7"/>
      <c r="DQ76" s="16" t="s">
        <v>43</v>
      </c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8"/>
      <c r="EH76" s="16" t="s">
        <v>43</v>
      </c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8"/>
      <c r="EY76" s="16" t="s">
        <v>43</v>
      </c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8"/>
      <c r="FP76" s="16" t="s">
        <v>43</v>
      </c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8"/>
      <c r="GG76" s="35">
        <f>2.816*0.121300672614305</f>
        <v>0.34158269408188285</v>
      </c>
      <c r="GH76" s="36"/>
      <c r="GI76" s="36"/>
      <c r="GJ76" s="36"/>
      <c r="GK76" s="36"/>
      <c r="GL76" s="36"/>
      <c r="GM76" s="36"/>
      <c r="GN76" s="36"/>
      <c r="GO76" s="36"/>
      <c r="GP76" s="37"/>
      <c r="GQ76" s="35">
        <v>0</v>
      </c>
      <c r="GR76" s="36"/>
      <c r="GS76" s="36"/>
      <c r="GT76" s="36"/>
      <c r="GU76" s="36"/>
      <c r="GV76" s="36"/>
      <c r="GW76" s="36"/>
      <c r="GX76" s="36"/>
      <c r="GY76" s="36"/>
      <c r="GZ76" s="37"/>
      <c r="HA76" s="35">
        <v>0</v>
      </c>
      <c r="HB76" s="36"/>
      <c r="HC76" s="36"/>
      <c r="HD76" s="36"/>
      <c r="HE76" s="36"/>
      <c r="HF76" s="36"/>
      <c r="HG76" s="36"/>
      <c r="HH76" s="36"/>
      <c r="HI76" s="36"/>
      <c r="HJ76" s="37"/>
      <c r="HK76" s="35">
        <v>0</v>
      </c>
      <c r="HL76" s="36"/>
      <c r="HM76" s="36"/>
      <c r="HN76" s="36"/>
      <c r="HO76" s="36"/>
      <c r="HP76" s="36"/>
      <c r="HQ76" s="36"/>
      <c r="HR76" s="36"/>
      <c r="HS76" s="36"/>
      <c r="HT76" s="37"/>
      <c r="HU76" s="35">
        <v>0</v>
      </c>
      <c r="HV76" s="36"/>
      <c r="HW76" s="36"/>
      <c r="HX76" s="36"/>
      <c r="HY76" s="36"/>
      <c r="HZ76" s="36"/>
      <c r="IA76" s="36"/>
      <c r="IB76" s="36"/>
      <c r="IC76" s="36"/>
      <c r="ID76" s="37"/>
      <c r="IE76" s="35">
        <f t="shared" si="0"/>
        <v>0.34158269408188285</v>
      </c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42"/>
      <c r="IQ76" s="8"/>
    </row>
    <row r="77" spans="1:251" ht="33" customHeight="1">
      <c r="A77" s="26" t="s">
        <v>192</v>
      </c>
      <c r="B77" s="27"/>
      <c r="C77" s="27"/>
      <c r="D77" s="27"/>
      <c r="E77" s="28"/>
      <c r="F77" s="23" t="s">
        <v>107</v>
      </c>
      <c r="G77" s="24" t="s">
        <v>107</v>
      </c>
      <c r="H77" s="24" t="s">
        <v>107</v>
      </c>
      <c r="I77" s="24" t="s">
        <v>107</v>
      </c>
      <c r="J77" s="24" t="s">
        <v>107</v>
      </c>
      <c r="K77" s="24" t="s">
        <v>107</v>
      </c>
      <c r="L77" s="24" t="s">
        <v>107</v>
      </c>
      <c r="M77" s="24" t="s">
        <v>107</v>
      </c>
      <c r="N77" s="24" t="s">
        <v>107</v>
      </c>
      <c r="O77" s="24" t="s">
        <v>107</v>
      </c>
      <c r="P77" s="24" t="s">
        <v>107</v>
      </c>
      <c r="Q77" s="24" t="s">
        <v>107</v>
      </c>
      <c r="R77" s="24" t="s">
        <v>107</v>
      </c>
      <c r="S77" s="24" t="s">
        <v>107</v>
      </c>
      <c r="T77" s="24" t="s">
        <v>107</v>
      </c>
      <c r="U77" s="24" t="s">
        <v>107</v>
      </c>
      <c r="V77" s="24" t="s">
        <v>107</v>
      </c>
      <c r="W77" s="24" t="s">
        <v>107</v>
      </c>
      <c r="X77" s="24" t="s">
        <v>107</v>
      </c>
      <c r="Y77" s="24" t="s">
        <v>107</v>
      </c>
      <c r="Z77" s="24" t="s">
        <v>107</v>
      </c>
      <c r="AA77" s="24" t="s">
        <v>107</v>
      </c>
      <c r="AB77" s="24" t="s">
        <v>107</v>
      </c>
      <c r="AC77" s="24" t="s">
        <v>107</v>
      </c>
      <c r="AD77" s="24" t="s">
        <v>107</v>
      </c>
      <c r="AE77" s="25" t="s">
        <v>107</v>
      </c>
      <c r="AF77" s="16"/>
      <c r="AG77" s="17"/>
      <c r="AH77" s="17"/>
      <c r="AI77" s="17"/>
      <c r="AJ77" s="17"/>
      <c r="AK77" s="17"/>
      <c r="AL77" s="17"/>
      <c r="AM77" s="17"/>
      <c r="AN77" s="17"/>
      <c r="AO77" s="18"/>
      <c r="AP77" s="16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8"/>
      <c r="BG77" s="29">
        <v>42016</v>
      </c>
      <c r="BH77" s="30"/>
      <c r="BI77" s="30"/>
      <c r="BJ77" s="30"/>
      <c r="BK77" s="30"/>
      <c r="BL77" s="30"/>
      <c r="BM77" s="30"/>
      <c r="BN77" s="30"/>
      <c r="BO77" s="30"/>
      <c r="BP77" s="31"/>
      <c r="BQ77" s="29">
        <v>42016</v>
      </c>
      <c r="BR77" s="30"/>
      <c r="BS77" s="30"/>
      <c r="BT77" s="30"/>
      <c r="BU77" s="30"/>
      <c r="BV77" s="30"/>
      <c r="BW77" s="30"/>
      <c r="BX77" s="30"/>
      <c r="BY77" s="30"/>
      <c r="BZ77" s="31"/>
      <c r="CA77" s="35">
        <f aca="true" t="shared" si="20" ref="CA77:CA85">CO77</f>
        <v>0.3286035221121522</v>
      </c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7"/>
      <c r="CO77" s="35">
        <f aca="true" t="shared" si="21" ref="CO77:CO86">IE77</f>
        <v>0.3286035221121522</v>
      </c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7"/>
      <c r="DC77" s="35">
        <f aca="true" t="shared" si="22" ref="DC77:DC86">GG77</f>
        <v>0.3286035221121522</v>
      </c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7"/>
      <c r="DQ77" s="16" t="s">
        <v>43</v>
      </c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8"/>
      <c r="EH77" s="16" t="s">
        <v>43</v>
      </c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8"/>
      <c r="EY77" s="16" t="s">
        <v>43</v>
      </c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8"/>
      <c r="FP77" s="16" t="s">
        <v>43</v>
      </c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8"/>
      <c r="GG77" s="35">
        <f>2.709*0.121300672614305</f>
        <v>0.3286035221121522</v>
      </c>
      <c r="GH77" s="36"/>
      <c r="GI77" s="36"/>
      <c r="GJ77" s="36"/>
      <c r="GK77" s="36"/>
      <c r="GL77" s="36"/>
      <c r="GM77" s="36"/>
      <c r="GN77" s="36"/>
      <c r="GO77" s="36"/>
      <c r="GP77" s="37"/>
      <c r="GQ77" s="35">
        <v>0</v>
      </c>
      <c r="GR77" s="36"/>
      <c r="GS77" s="36"/>
      <c r="GT77" s="36"/>
      <c r="GU77" s="36"/>
      <c r="GV77" s="36"/>
      <c r="GW77" s="36"/>
      <c r="GX77" s="36"/>
      <c r="GY77" s="36"/>
      <c r="GZ77" s="37"/>
      <c r="HA77" s="35">
        <v>0</v>
      </c>
      <c r="HB77" s="36"/>
      <c r="HC77" s="36"/>
      <c r="HD77" s="36"/>
      <c r="HE77" s="36"/>
      <c r="HF77" s="36"/>
      <c r="HG77" s="36"/>
      <c r="HH77" s="36"/>
      <c r="HI77" s="36"/>
      <c r="HJ77" s="37"/>
      <c r="HK77" s="35">
        <v>0</v>
      </c>
      <c r="HL77" s="36"/>
      <c r="HM77" s="36"/>
      <c r="HN77" s="36"/>
      <c r="HO77" s="36"/>
      <c r="HP77" s="36"/>
      <c r="HQ77" s="36"/>
      <c r="HR77" s="36"/>
      <c r="HS77" s="36"/>
      <c r="HT77" s="37"/>
      <c r="HU77" s="35">
        <v>0</v>
      </c>
      <c r="HV77" s="36"/>
      <c r="HW77" s="36"/>
      <c r="HX77" s="36"/>
      <c r="HY77" s="36"/>
      <c r="HZ77" s="36"/>
      <c r="IA77" s="36"/>
      <c r="IB77" s="36"/>
      <c r="IC77" s="36"/>
      <c r="ID77" s="37"/>
      <c r="IE77" s="35">
        <f t="shared" si="0"/>
        <v>0.3286035221121522</v>
      </c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42"/>
      <c r="IQ77" s="8"/>
    </row>
    <row r="78" spans="1:251" ht="29.25" customHeight="1">
      <c r="A78" s="26" t="s">
        <v>193</v>
      </c>
      <c r="B78" s="27"/>
      <c r="C78" s="27"/>
      <c r="D78" s="27"/>
      <c r="E78" s="28"/>
      <c r="F78" s="23" t="s">
        <v>108</v>
      </c>
      <c r="G78" s="24" t="s">
        <v>108</v>
      </c>
      <c r="H78" s="24" t="s">
        <v>108</v>
      </c>
      <c r="I78" s="24" t="s">
        <v>108</v>
      </c>
      <c r="J78" s="24" t="s">
        <v>108</v>
      </c>
      <c r="K78" s="24" t="s">
        <v>108</v>
      </c>
      <c r="L78" s="24" t="s">
        <v>108</v>
      </c>
      <c r="M78" s="24" t="s">
        <v>108</v>
      </c>
      <c r="N78" s="24" t="s">
        <v>108</v>
      </c>
      <c r="O78" s="24" t="s">
        <v>108</v>
      </c>
      <c r="P78" s="24" t="s">
        <v>108</v>
      </c>
      <c r="Q78" s="24" t="s">
        <v>108</v>
      </c>
      <c r="R78" s="24" t="s">
        <v>108</v>
      </c>
      <c r="S78" s="24" t="s">
        <v>108</v>
      </c>
      <c r="T78" s="24" t="s">
        <v>108</v>
      </c>
      <c r="U78" s="24" t="s">
        <v>108</v>
      </c>
      <c r="V78" s="24" t="s">
        <v>108</v>
      </c>
      <c r="W78" s="24" t="s">
        <v>108</v>
      </c>
      <c r="X78" s="24" t="s">
        <v>108</v>
      </c>
      <c r="Y78" s="24" t="s">
        <v>108</v>
      </c>
      <c r="Z78" s="24" t="s">
        <v>108</v>
      </c>
      <c r="AA78" s="24" t="s">
        <v>108</v>
      </c>
      <c r="AB78" s="24" t="s">
        <v>108</v>
      </c>
      <c r="AC78" s="24" t="s">
        <v>108</v>
      </c>
      <c r="AD78" s="24" t="s">
        <v>108</v>
      </c>
      <c r="AE78" s="25" t="s">
        <v>108</v>
      </c>
      <c r="AF78" s="16"/>
      <c r="AG78" s="17"/>
      <c r="AH78" s="17"/>
      <c r="AI78" s="17"/>
      <c r="AJ78" s="17"/>
      <c r="AK78" s="17"/>
      <c r="AL78" s="17"/>
      <c r="AM78" s="17"/>
      <c r="AN78" s="17"/>
      <c r="AO78" s="18"/>
      <c r="AP78" s="16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8"/>
      <c r="BG78" s="29">
        <v>12016</v>
      </c>
      <c r="BH78" s="30"/>
      <c r="BI78" s="30"/>
      <c r="BJ78" s="30"/>
      <c r="BK78" s="30"/>
      <c r="BL78" s="30"/>
      <c r="BM78" s="30"/>
      <c r="BN78" s="30"/>
      <c r="BO78" s="30"/>
      <c r="BP78" s="31"/>
      <c r="BQ78" s="29">
        <v>42016</v>
      </c>
      <c r="BR78" s="30"/>
      <c r="BS78" s="30"/>
      <c r="BT78" s="30"/>
      <c r="BU78" s="30"/>
      <c r="BV78" s="30"/>
      <c r="BW78" s="30"/>
      <c r="BX78" s="30"/>
      <c r="BY78" s="30"/>
      <c r="BZ78" s="31"/>
      <c r="CA78" s="35">
        <f t="shared" si="20"/>
        <v>0.11826815579894737</v>
      </c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7"/>
      <c r="CO78" s="35">
        <f t="shared" si="21"/>
        <v>0.11826815579894737</v>
      </c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7"/>
      <c r="DC78" s="35">
        <f t="shared" si="22"/>
        <v>0.11826815579894737</v>
      </c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7"/>
      <c r="DQ78" s="16" t="s">
        <v>43</v>
      </c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8"/>
      <c r="EH78" s="16" t="s">
        <v>43</v>
      </c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8"/>
      <c r="EY78" s="16" t="s">
        <v>43</v>
      </c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8"/>
      <c r="FP78" s="16" t="s">
        <v>43</v>
      </c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8"/>
      <c r="GG78" s="35">
        <f>0.975*0.121300672614305</f>
        <v>0.11826815579894737</v>
      </c>
      <c r="GH78" s="36"/>
      <c r="GI78" s="36"/>
      <c r="GJ78" s="36"/>
      <c r="GK78" s="36"/>
      <c r="GL78" s="36"/>
      <c r="GM78" s="36"/>
      <c r="GN78" s="36"/>
      <c r="GO78" s="36"/>
      <c r="GP78" s="37"/>
      <c r="GQ78" s="35">
        <v>0</v>
      </c>
      <c r="GR78" s="36"/>
      <c r="GS78" s="36"/>
      <c r="GT78" s="36"/>
      <c r="GU78" s="36"/>
      <c r="GV78" s="36"/>
      <c r="GW78" s="36"/>
      <c r="GX78" s="36"/>
      <c r="GY78" s="36"/>
      <c r="GZ78" s="37"/>
      <c r="HA78" s="35">
        <v>0</v>
      </c>
      <c r="HB78" s="36"/>
      <c r="HC78" s="36"/>
      <c r="HD78" s="36"/>
      <c r="HE78" s="36"/>
      <c r="HF78" s="36"/>
      <c r="HG78" s="36"/>
      <c r="HH78" s="36"/>
      <c r="HI78" s="36"/>
      <c r="HJ78" s="37"/>
      <c r="HK78" s="35">
        <v>0</v>
      </c>
      <c r="HL78" s="36"/>
      <c r="HM78" s="36"/>
      <c r="HN78" s="36"/>
      <c r="HO78" s="36"/>
      <c r="HP78" s="36"/>
      <c r="HQ78" s="36"/>
      <c r="HR78" s="36"/>
      <c r="HS78" s="36"/>
      <c r="HT78" s="37"/>
      <c r="HU78" s="35">
        <v>0</v>
      </c>
      <c r="HV78" s="36"/>
      <c r="HW78" s="36"/>
      <c r="HX78" s="36"/>
      <c r="HY78" s="36"/>
      <c r="HZ78" s="36"/>
      <c r="IA78" s="36"/>
      <c r="IB78" s="36"/>
      <c r="IC78" s="36"/>
      <c r="ID78" s="37"/>
      <c r="IE78" s="35">
        <f t="shared" si="0"/>
        <v>0.11826815579894737</v>
      </c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42"/>
      <c r="IQ78" s="8"/>
    </row>
    <row r="79" spans="1:251" ht="22.5" customHeight="1">
      <c r="A79" s="26" t="s">
        <v>194</v>
      </c>
      <c r="B79" s="27"/>
      <c r="C79" s="27"/>
      <c r="D79" s="27"/>
      <c r="E79" s="28"/>
      <c r="F79" s="23" t="s">
        <v>109</v>
      </c>
      <c r="G79" s="24" t="s">
        <v>109</v>
      </c>
      <c r="H79" s="24" t="s">
        <v>109</v>
      </c>
      <c r="I79" s="24" t="s">
        <v>109</v>
      </c>
      <c r="J79" s="24" t="s">
        <v>109</v>
      </c>
      <c r="K79" s="24" t="s">
        <v>109</v>
      </c>
      <c r="L79" s="24" t="s">
        <v>109</v>
      </c>
      <c r="M79" s="24" t="s">
        <v>109</v>
      </c>
      <c r="N79" s="24" t="s">
        <v>109</v>
      </c>
      <c r="O79" s="24" t="s">
        <v>109</v>
      </c>
      <c r="P79" s="24" t="s">
        <v>109</v>
      </c>
      <c r="Q79" s="24" t="s">
        <v>109</v>
      </c>
      <c r="R79" s="24" t="s">
        <v>109</v>
      </c>
      <c r="S79" s="24" t="s">
        <v>109</v>
      </c>
      <c r="T79" s="24" t="s">
        <v>109</v>
      </c>
      <c r="U79" s="24" t="s">
        <v>109</v>
      </c>
      <c r="V79" s="24" t="s">
        <v>109</v>
      </c>
      <c r="W79" s="24" t="s">
        <v>109</v>
      </c>
      <c r="X79" s="24" t="s">
        <v>109</v>
      </c>
      <c r="Y79" s="24" t="s">
        <v>109</v>
      </c>
      <c r="Z79" s="24" t="s">
        <v>109</v>
      </c>
      <c r="AA79" s="24" t="s">
        <v>109</v>
      </c>
      <c r="AB79" s="24" t="s">
        <v>109</v>
      </c>
      <c r="AC79" s="24" t="s">
        <v>109</v>
      </c>
      <c r="AD79" s="24" t="s">
        <v>109</v>
      </c>
      <c r="AE79" s="25" t="s">
        <v>109</v>
      </c>
      <c r="AF79" s="16"/>
      <c r="AG79" s="17"/>
      <c r="AH79" s="17"/>
      <c r="AI79" s="17"/>
      <c r="AJ79" s="17"/>
      <c r="AK79" s="17"/>
      <c r="AL79" s="17"/>
      <c r="AM79" s="17"/>
      <c r="AN79" s="17"/>
      <c r="AO79" s="18"/>
      <c r="AP79" s="16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8"/>
      <c r="BG79" s="29">
        <v>42016</v>
      </c>
      <c r="BH79" s="30"/>
      <c r="BI79" s="30"/>
      <c r="BJ79" s="30"/>
      <c r="BK79" s="30"/>
      <c r="BL79" s="30"/>
      <c r="BM79" s="30"/>
      <c r="BN79" s="30"/>
      <c r="BO79" s="30"/>
      <c r="BP79" s="31"/>
      <c r="BQ79" s="29">
        <v>42016</v>
      </c>
      <c r="BR79" s="30"/>
      <c r="BS79" s="30"/>
      <c r="BT79" s="30"/>
      <c r="BU79" s="30"/>
      <c r="BV79" s="30"/>
      <c r="BW79" s="30"/>
      <c r="BX79" s="30"/>
      <c r="BY79" s="30"/>
      <c r="BZ79" s="31"/>
      <c r="CA79" s="35">
        <f t="shared" si="20"/>
        <v>0.47307262319578947</v>
      </c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7"/>
      <c r="CO79" s="35">
        <f t="shared" si="21"/>
        <v>0.47307262319578947</v>
      </c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7"/>
      <c r="DC79" s="35">
        <f t="shared" si="22"/>
        <v>0.47307262319578947</v>
      </c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7"/>
      <c r="DQ79" s="16" t="s">
        <v>43</v>
      </c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8"/>
      <c r="EH79" s="16" t="s">
        <v>43</v>
      </c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8"/>
      <c r="EY79" s="16" t="s">
        <v>43</v>
      </c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8"/>
      <c r="FP79" s="16" t="s">
        <v>43</v>
      </c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8"/>
      <c r="GG79" s="35">
        <f>3.9*0.121300672614305</f>
        <v>0.47307262319578947</v>
      </c>
      <c r="GH79" s="36"/>
      <c r="GI79" s="36"/>
      <c r="GJ79" s="36"/>
      <c r="GK79" s="36"/>
      <c r="GL79" s="36"/>
      <c r="GM79" s="36"/>
      <c r="GN79" s="36"/>
      <c r="GO79" s="36"/>
      <c r="GP79" s="37"/>
      <c r="GQ79" s="35">
        <v>0</v>
      </c>
      <c r="GR79" s="36"/>
      <c r="GS79" s="36"/>
      <c r="GT79" s="36"/>
      <c r="GU79" s="36"/>
      <c r="GV79" s="36"/>
      <c r="GW79" s="36"/>
      <c r="GX79" s="36"/>
      <c r="GY79" s="36"/>
      <c r="GZ79" s="37"/>
      <c r="HA79" s="35">
        <v>0</v>
      </c>
      <c r="HB79" s="36"/>
      <c r="HC79" s="36"/>
      <c r="HD79" s="36"/>
      <c r="HE79" s="36"/>
      <c r="HF79" s="36"/>
      <c r="HG79" s="36"/>
      <c r="HH79" s="36"/>
      <c r="HI79" s="36"/>
      <c r="HJ79" s="37"/>
      <c r="HK79" s="35">
        <v>0</v>
      </c>
      <c r="HL79" s="36"/>
      <c r="HM79" s="36"/>
      <c r="HN79" s="36"/>
      <c r="HO79" s="36"/>
      <c r="HP79" s="36"/>
      <c r="HQ79" s="36"/>
      <c r="HR79" s="36"/>
      <c r="HS79" s="36"/>
      <c r="HT79" s="37"/>
      <c r="HU79" s="35">
        <v>0</v>
      </c>
      <c r="HV79" s="36"/>
      <c r="HW79" s="36"/>
      <c r="HX79" s="36"/>
      <c r="HY79" s="36"/>
      <c r="HZ79" s="36"/>
      <c r="IA79" s="36"/>
      <c r="IB79" s="36"/>
      <c r="IC79" s="36"/>
      <c r="ID79" s="37"/>
      <c r="IE79" s="35">
        <f aca="true" t="shared" si="23" ref="IE79:IE86">SUM(GG79:ID79)</f>
        <v>0.47307262319578947</v>
      </c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42"/>
      <c r="IQ79" s="8"/>
    </row>
    <row r="80" spans="1:251" ht="30.75" customHeight="1">
      <c r="A80" s="26" t="s">
        <v>195</v>
      </c>
      <c r="B80" s="27"/>
      <c r="C80" s="27"/>
      <c r="D80" s="27"/>
      <c r="E80" s="28"/>
      <c r="F80" s="23" t="s">
        <v>110</v>
      </c>
      <c r="G80" s="24" t="s">
        <v>110</v>
      </c>
      <c r="H80" s="24" t="s">
        <v>110</v>
      </c>
      <c r="I80" s="24" t="s">
        <v>110</v>
      </c>
      <c r="J80" s="24" t="s">
        <v>110</v>
      </c>
      <c r="K80" s="24" t="s">
        <v>110</v>
      </c>
      <c r="L80" s="24" t="s">
        <v>110</v>
      </c>
      <c r="M80" s="24" t="s">
        <v>110</v>
      </c>
      <c r="N80" s="24" t="s">
        <v>110</v>
      </c>
      <c r="O80" s="24" t="s">
        <v>110</v>
      </c>
      <c r="P80" s="24" t="s">
        <v>110</v>
      </c>
      <c r="Q80" s="24" t="s">
        <v>110</v>
      </c>
      <c r="R80" s="24" t="s">
        <v>110</v>
      </c>
      <c r="S80" s="24" t="s">
        <v>110</v>
      </c>
      <c r="T80" s="24" t="s">
        <v>110</v>
      </c>
      <c r="U80" s="24" t="s">
        <v>110</v>
      </c>
      <c r="V80" s="24" t="s">
        <v>110</v>
      </c>
      <c r="W80" s="24" t="s">
        <v>110</v>
      </c>
      <c r="X80" s="24" t="s">
        <v>110</v>
      </c>
      <c r="Y80" s="24" t="s">
        <v>110</v>
      </c>
      <c r="Z80" s="24" t="s">
        <v>110</v>
      </c>
      <c r="AA80" s="24" t="s">
        <v>110</v>
      </c>
      <c r="AB80" s="24" t="s">
        <v>110</v>
      </c>
      <c r="AC80" s="24" t="s">
        <v>110</v>
      </c>
      <c r="AD80" s="24" t="s">
        <v>110</v>
      </c>
      <c r="AE80" s="25" t="s">
        <v>110</v>
      </c>
      <c r="AF80" s="16"/>
      <c r="AG80" s="17"/>
      <c r="AH80" s="17"/>
      <c r="AI80" s="17"/>
      <c r="AJ80" s="17"/>
      <c r="AK80" s="17"/>
      <c r="AL80" s="17"/>
      <c r="AM80" s="17"/>
      <c r="AN80" s="17"/>
      <c r="AO80" s="18"/>
      <c r="AP80" s="16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8"/>
      <c r="BG80" s="29">
        <v>32016</v>
      </c>
      <c r="BH80" s="30"/>
      <c r="BI80" s="30"/>
      <c r="BJ80" s="30"/>
      <c r="BK80" s="30"/>
      <c r="BL80" s="30"/>
      <c r="BM80" s="30"/>
      <c r="BN80" s="30"/>
      <c r="BO80" s="30"/>
      <c r="BP80" s="31"/>
      <c r="BQ80" s="29">
        <v>42018</v>
      </c>
      <c r="BR80" s="30"/>
      <c r="BS80" s="30"/>
      <c r="BT80" s="30"/>
      <c r="BU80" s="30"/>
      <c r="BV80" s="30"/>
      <c r="BW80" s="30"/>
      <c r="BX80" s="30"/>
      <c r="BY80" s="30"/>
      <c r="BZ80" s="31"/>
      <c r="CA80" s="35">
        <f t="shared" si="20"/>
        <v>13.166368733756606</v>
      </c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7"/>
      <c r="CO80" s="35">
        <f t="shared" si="21"/>
        <v>13.166368733756606</v>
      </c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7"/>
      <c r="DC80" s="35">
        <f t="shared" si="22"/>
        <v>1.763833080484609</v>
      </c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7"/>
      <c r="DQ80" s="16" t="s">
        <v>43</v>
      </c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8"/>
      <c r="EH80" s="16" t="s">
        <v>43</v>
      </c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8"/>
      <c r="EY80" s="16" t="s">
        <v>43</v>
      </c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8"/>
      <c r="FP80" s="16" t="s">
        <v>43</v>
      </c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8"/>
      <c r="GG80" s="35">
        <f>14.541*0.121300672614305</f>
        <v>1.763833080484609</v>
      </c>
      <c r="GH80" s="36"/>
      <c r="GI80" s="36"/>
      <c r="GJ80" s="36"/>
      <c r="GK80" s="36"/>
      <c r="GL80" s="36"/>
      <c r="GM80" s="36"/>
      <c r="GN80" s="36"/>
      <c r="GO80" s="36"/>
      <c r="GP80" s="37"/>
      <c r="GQ80" s="35">
        <f>7.641*0.444252801108755</f>
        <v>3.394535653271997</v>
      </c>
      <c r="GR80" s="36"/>
      <c r="GS80" s="36"/>
      <c r="GT80" s="36"/>
      <c r="GU80" s="36"/>
      <c r="GV80" s="36"/>
      <c r="GW80" s="36"/>
      <c r="GX80" s="36"/>
      <c r="GY80" s="36"/>
      <c r="GZ80" s="37"/>
      <c r="HA80" s="35">
        <v>8.008</v>
      </c>
      <c r="HB80" s="36"/>
      <c r="HC80" s="36"/>
      <c r="HD80" s="36"/>
      <c r="HE80" s="36"/>
      <c r="HF80" s="36"/>
      <c r="HG80" s="36"/>
      <c r="HH80" s="36"/>
      <c r="HI80" s="36"/>
      <c r="HJ80" s="37"/>
      <c r="HK80" s="35">
        <v>0</v>
      </c>
      <c r="HL80" s="36"/>
      <c r="HM80" s="36"/>
      <c r="HN80" s="36"/>
      <c r="HO80" s="36"/>
      <c r="HP80" s="36"/>
      <c r="HQ80" s="36"/>
      <c r="HR80" s="36"/>
      <c r="HS80" s="36"/>
      <c r="HT80" s="37"/>
      <c r="HU80" s="35">
        <v>0</v>
      </c>
      <c r="HV80" s="36"/>
      <c r="HW80" s="36"/>
      <c r="HX80" s="36"/>
      <c r="HY80" s="36"/>
      <c r="HZ80" s="36"/>
      <c r="IA80" s="36"/>
      <c r="IB80" s="36"/>
      <c r="IC80" s="36"/>
      <c r="ID80" s="37"/>
      <c r="IE80" s="35">
        <f t="shared" si="23"/>
        <v>13.166368733756606</v>
      </c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42"/>
      <c r="IQ80" s="8"/>
    </row>
    <row r="81" spans="1:251" ht="30" customHeight="1">
      <c r="A81" s="26" t="s">
        <v>196</v>
      </c>
      <c r="B81" s="27"/>
      <c r="C81" s="27"/>
      <c r="D81" s="27"/>
      <c r="E81" s="28"/>
      <c r="F81" s="23" t="s">
        <v>111</v>
      </c>
      <c r="G81" s="24" t="s">
        <v>111</v>
      </c>
      <c r="H81" s="24" t="s">
        <v>111</v>
      </c>
      <c r="I81" s="24" t="s">
        <v>111</v>
      </c>
      <c r="J81" s="24" t="s">
        <v>111</v>
      </c>
      <c r="K81" s="24" t="s">
        <v>111</v>
      </c>
      <c r="L81" s="24" t="s">
        <v>111</v>
      </c>
      <c r="M81" s="24" t="s">
        <v>111</v>
      </c>
      <c r="N81" s="24" t="s">
        <v>111</v>
      </c>
      <c r="O81" s="24" t="s">
        <v>111</v>
      </c>
      <c r="P81" s="24" t="s">
        <v>111</v>
      </c>
      <c r="Q81" s="24" t="s">
        <v>111</v>
      </c>
      <c r="R81" s="24" t="s">
        <v>111</v>
      </c>
      <c r="S81" s="24" t="s">
        <v>111</v>
      </c>
      <c r="T81" s="24" t="s">
        <v>111</v>
      </c>
      <c r="U81" s="24" t="s">
        <v>111</v>
      </c>
      <c r="V81" s="24" t="s">
        <v>111</v>
      </c>
      <c r="W81" s="24" t="s">
        <v>111</v>
      </c>
      <c r="X81" s="24" t="s">
        <v>111</v>
      </c>
      <c r="Y81" s="24" t="s">
        <v>111</v>
      </c>
      <c r="Z81" s="24" t="s">
        <v>111</v>
      </c>
      <c r="AA81" s="24" t="s">
        <v>111</v>
      </c>
      <c r="AB81" s="24" t="s">
        <v>111</v>
      </c>
      <c r="AC81" s="24" t="s">
        <v>111</v>
      </c>
      <c r="AD81" s="24" t="s">
        <v>111</v>
      </c>
      <c r="AE81" s="25" t="s">
        <v>111</v>
      </c>
      <c r="AF81" s="16"/>
      <c r="AG81" s="17"/>
      <c r="AH81" s="17"/>
      <c r="AI81" s="17"/>
      <c r="AJ81" s="17"/>
      <c r="AK81" s="17"/>
      <c r="AL81" s="17"/>
      <c r="AM81" s="17"/>
      <c r="AN81" s="17"/>
      <c r="AO81" s="18"/>
      <c r="AP81" s="16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8"/>
      <c r="BG81" s="29">
        <v>12020</v>
      </c>
      <c r="BH81" s="30"/>
      <c r="BI81" s="30"/>
      <c r="BJ81" s="30"/>
      <c r="BK81" s="30"/>
      <c r="BL81" s="30"/>
      <c r="BM81" s="30"/>
      <c r="BN81" s="30"/>
      <c r="BO81" s="30"/>
      <c r="BP81" s="31"/>
      <c r="BQ81" s="29">
        <v>42020</v>
      </c>
      <c r="BR81" s="30"/>
      <c r="BS81" s="30"/>
      <c r="BT81" s="30"/>
      <c r="BU81" s="30"/>
      <c r="BV81" s="30"/>
      <c r="BW81" s="30"/>
      <c r="BX81" s="30"/>
      <c r="BY81" s="30"/>
      <c r="BZ81" s="31"/>
      <c r="CA81" s="35">
        <f t="shared" si="20"/>
        <v>3.971</v>
      </c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7"/>
      <c r="CO81" s="35">
        <f t="shared" si="21"/>
        <v>3.971</v>
      </c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7"/>
      <c r="DC81" s="35">
        <f t="shared" si="22"/>
        <v>0</v>
      </c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7"/>
      <c r="DQ81" s="16" t="s">
        <v>43</v>
      </c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8"/>
      <c r="EH81" s="16" t="s">
        <v>43</v>
      </c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8"/>
      <c r="EY81" s="16" t="s">
        <v>43</v>
      </c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8"/>
      <c r="FP81" s="16" t="s">
        <v>43</v>
      </c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8"/>
      <c r="GG81" s="35">
        <v>0</v>
      </c>
      <c r="GH81" s="36"/>
      <c r="GI81" s="36"/>
      <c r="GJ81" s="36"/>
      <c r="GK81" s="36"/>
      <c r="GL81" s="36"/>
      <c r="GM81" s="36"/>
      <c r="GN81" s="36"/>
      <c r="GO81" s="36"/>
      <c r="GP81" s="37"/>
      <c r="GQ81" s="35">
        <v>0</v>
      </c>
      <c r="GR81" s="36"/>
      <c r="GS81" s="36"/>
      <c r="GT81" s="36"/>
      <c r="GU81" s="36"/>
      <c r="GV81" s="36"/>
      <c r="GW81" s="36"/>
      <c r="GX81" s="36"/>
      <c r="GY81" s="36"/>
      <c r="GZ81" s="37"/>
      <c r="HA81" s="35">
        <v>0</v>
      </c>
      <c r="HB81" s="36"/>
      <c r="HC81" s="36"/>
      <c r="HD81" s="36"/>
      <c r="HE81" s="36"/>
      <c r="HF81" s="36"/>
      <c r="HG81" s="36"/>
      <c r="HH81" s="36"/>
      <c r="HI81" s="36"/>
      <c r="HJ81" s="37"/>
      <c r="HK81" s="35">
        <v>0</v>
      </c>
      <c r="HL81" s="36"/>
      <c r="HM81" s="36"/>
      <c r="HN81" s="36"/>
      <c r="HO81" s="36"/>
      <c r="HP81" s="36"/>
      <c r="HQ81" s="36"/>
      <c r="HR81" s="36"/>
      <c r="HS81" s="36"/>
      <c r="HT81" s="37"/>
      <c r="HU81" s="35">
        <v>3.971</v>
      </c>
      <c r="HV81" s="36"/>
      <c r="HW81" s="36"/>
      <c r="HX81" s="36"/>
      <c r="HY81" s="36"/>
      <c r="HZ81" s="36"/>
      <c r="IA81" s="36"/>
      <c r="IB81" s="36"/>
      <c r="IC81" s="36"/>
      <c r="ID81" s="37"/>
      <c r="IE81" s="35">
        <f t="shared" si="23"/>
        <v>3.971</v>
      </c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42"/>
      <c r="IQ81" s="8"/>
    </row>
    <row r="82" spans="1:251" ht="29.25" customHeight="1">
      <c r="A82" s="26" t="s">
        <v>197</v>
      </c>
      <c r="B82" s="27"/>
      <c r="C82" s="27"/>
      <c r="D82" s="27"/>
      <c r="E82" s="28"/>
      <c r="F82" s="23" t="s">
        <v>112</v>
      </c>
      <c r="G82" s="24" t="s">
        <v>112</v>
      </c>
      <c r="H82" s="24" t="s">
        <v>112</v>
      </c>
      <c r="I82" s="24" t="s">
        <v>112</v>
      </c>
      <c r="J82" s="24" t="s">
        <v>112</v>
      </c>
      <c r="K82" s="24" t="s">
        <v>112</v>
      </c>
      <c r="L82" s="24" t="s">
        <v>112</v>
      </c>
      <c r="M82" s="24" t="s">
        <v>112</v>
      </c>
      <c r="N82" s="24" t="s">
        <v>112</v>
      </c>
      <c r="O82" s="24" t="s">
        <v>112</v>
      </c>
      <c r="P82" s="24" t="s">
        <v>112</v>
      </c>
      <c r="Q82" s="24" t="s">
        <v>112</v>
      </c>
      <c r="R82" s="24" t="s">
        <v>112</v>
      </c>
      <c r="S82" s="24" t="s">
        <v>112</v>
      </c>
      <c r="T82" s="24" t="s">
        <v>112</v>
      </c>
      <c r="U82" s="24" t="s">
        <v>112</v>
      </c>
      <c r="V82" s="24" t="s">
        <v>112</v>
      </c>
      <c r="W82" s="24" t="s">
        <v>112</v>
      </c>
      <c r="X82" s="24" t="s">
        <v>112</v>
      </c>
      <c r="Y82" s="24" t="s">
        <v>112</v>
      </c>
      <c r="Z82" s="24" t="s">
        <v>112</v>
      </c>
      <c r="AA82" s="24" t="s">
        <v>112</v>
      </c>
      <c r="AB82" s="24" t="s">
        <v>112</v>
      </c>
      <c r="AC82" s="24" t="s">
        <v>112</v>
      </c>
      <c r="AD82" s="24" t="s">
        <v>112</v>
      </c>
      <c r="AE82" s="25" t="s">
        <v>112</v>
      </c>
      <c r="AF82" s="16"/>
      <c r="AG82" s="17"/>
      <c r="AH82" s="17"/>
      <c r="AI82" s="17"/>
      <c r="AJ82" s="17"/>
      <c r="AK82" s="17"/>
      <c r="AL82" s="17"/>
      <c r="AM82" s="17"/>
      <c r="AN82" s="17"/>
      <c r="AO82" s="18"/>
      <c r="AP82" s="16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8"/>
      <c r="BG82" s="29">
        <v>12017</v>
      </c>
      <c r="BH82" s="30"/>
      <c r="BI82" s="30"/>
      <c r="BJ82" s="30"/>
      <c r="BK82" s="30"/>
      <c r="BL82" s="30"/>
      <c r="BM82" s="30"/>
      <c r="BN82" s="30"/>
      <c r="BO82" s="30"/>
      <c r="BP82" s="31"/>
      <c r="BQ82" s="29">
        <v>42018</v>
      </c>
      <c r="BR82" s="30"/>
      <c r="BS82" s="30"/>
      <c r="BT82" s="30"/>
      <c r="BU82" s="30"/>
      <c r="BV82" s="30"/>
      <c r="BW82" s="30"/>
      <c r="BX82" s="30"/>
      <c r="BY82" s="30"/>
      <c r="BZ82" s="31"/>
      <c r="CA82" s="35">
        <f t="shared" si="20"/>
        <v>0.2555298753485732</v>
      </c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7"/>
      <c r="CO82" s="35">
        <f t="shared" si="21"/>
        <v>0.2555298753485732</v>
      </c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7"/>
      <c r="DC82" s="35">
        <f t="shared" si="22"/>
        <v>0</v>
      </c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7"/>
      <c r="DQ82" s="16" t="s">
        <v>43</v>
      </c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8"/>
      <c r="EH82" s="16" t="s">
        <v>43</v>
      </c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8"/>
      <c r="EY82" s="16" t="s">
        <v>43</v>
      </c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8"/>
      <c r="FP82" s="16" t="s">
        <v>43</v>
      </c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8"/>
      <c r="GG82" s="35">
        <v>0</v>
      </c>
      <c r="GH82" s="36"/>
      <c r="GI82" s="36"/>
      <c r="GJ82" s="36"/>
      <c r="GK82" s="36"/>
      <c r="GL82" s="36"/>
      <c r="GM82" s="36"/>
      <c r="GN82" s="36"/>
      <c r="GO82" s="36"/>
      <c r="GP82" s="37"/>
      <c r="GQ82" s="35">
        <f>0.134*0.444252801108755</f>
        <v>0.05952987534857317</v>
      </c>
      <c r="GR82" s="36"/>
      <c r="GS82" s="36"/>
      <c r="GT82" s="36"/>
      <c r="GU82" s="36"/>
      <c r="GV82" s="36"/>
      <c r="GW82" s="36"/>
      <c r="GX82" s="36"/>
      <c r="GY82" s="36"/>
      <c r="GZ82" s="37"/>
      <c r="HA82" s="35">
        <v>0.196</v>
      </c>
      <c r="HB82" s="36"/>
      <c r="HC82" s="36"/>
      <c r="HD82" s="36"/>
      <c r="HE82" s="36"/>
      <c r="HF82" s="36"/>
      <c r="HG82" s="36"/>
      <c r="HH82" s="36"/>
      <c r="HI82" s="36"/>
      <c r="HJ82" s="37"/>
      <c r="HK82" s="35">
        <v>0</v>
      </c>
      <c r="HL82" s="36"/>
      <c r="HM82" s="36"/>
      <c r="HN82" s="36"/>
      <c r="HO82" s="36"/>
      <c r="HP82" s="36"/>
      <c r="HQ82" s="36"/>
      <c r="HR82" s="36"/>
      <c r="HS82" s="36"/>
      <c r="HT82" s="37"/>
      <c r="HU82" s="35">
        <v>0</v>
      </c>
      <c r="HV82" s="36"/>
      <c r="HW82" s="36"/>
      <c r="HX82" s="36"/>
      <c r="HY82" s="36"/>
      <c r="HZ82" s="36"/>
      <c r="IA82" s="36"/>
      <c r="IB82" s="36"/>
      <c r="IC82" s="36"/>
      <c r="ID82" s="37"/>
      <c r="IE82" s="35">
        <f t="shared" si="23"/>
        <v>0.2555298753485732</v>
      </c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42"/>
      <c r="IQ82" s="8"/>
    </row>
    <row r="83" spans="1:251" ht="33.75" customHeight="1">
      <c r="A83" s="26" t="s">
        <v>198</v>
      </c>
      <c r="B83" s="27"/>
      <c r="C83" s="27"/>
      <c r="D83" s="27"/>
      <c r="E83" s="28"/>
      <c r="F83" s="23" t="s">
        <v>113</v>
      </c>
      <c r="G83" s="24" t="s">
        <v>114</v>
      </c>
      <c r="H83" s="24" t="s">
        <v>114</v>
      </c>
      <c r="I83" s="24" t="s">
        <v>114</v>
      </c>
      <c r="J83" s="24" t="s">
        <v>114</v>
      </c>
      <c r="K83" s="24" t="s">
        <v>114</v>
      </c>
      <c r="L83" s="24" t="s">
        <v>114</v>
      </c>
      <c r="M83" s="24" t="s">
        <v>114</v>
      </c>
      <c r="N83" s="24" t="s">
        <v>114</v>
      </c>
      <c r="O83" s="24" t="s">
        <v>114</v>
      </c>
      <c r="P83" s="24" t="s">
        <v>114</v>
      </c>
      <c r="Q83" s="24" t="s">
        <v>114</v>
      </c>
      <c r="R83" s="24" t="s">
        <v>114</v>
      </c>
      <c r="S83" s="24" t="s">
        <v>114</v>
      </c>
      <c r="T83" s="24" t="s">
        <v>114</v>
      </c>
      <c r="U83" s="24" t="s">
        <v>114</v>
      </c>
      <c r="V83" s="24" t="s">
        <v>114</v>
      </c>
      <c r="W83" s="24" t="s">
        <v>114</v>
      </c>
      <c r="X83" s="24" t="s">
        <v>114</v>
      </c>
      <c r="Y83" s="24" t="s">
        <v>114</v>
      </c>
      <c r="Z83" s="24" t="s">
        <v>114</v>
      </c>
      <c r="AA83" s="24" t="s">
        <v>114</v>
      </c>
      <c r="AB83" s="24" t="s">
        <v>114</v>
      </c>
      <c r="AC83" s="24" t="s">
        <v>114</v>
      </c>
      <c r="AD83" s="24" t="s">
        <v>114</v>
      </c>
      <c r="AE83" s="25" t="s">
        <v>114</v>
      </c>
      <c r="AF83" s="16"/>
      <c r="AG83" s="17"/>
      <c r="AH83" s="17"/>
      <c r="AI83" s="17"/>
      <c r="AJ83" s="17"/>
      <c r="AK83" s="17"/>
      <c r="AL83" s="17"/>
      <c r="AM83" s="17"/>
      <c r="AN83" s="17"/>
      <c r="AO83" s="18"/>
      <c r="AP83" s="16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8"/>
      <c r="BG83" s="29">
        <v>32016</v>
      </c>
      <c r="BH83" s="30"/>
      <c r="BI83" s="30"/>
      <c r="BJ83" s="30"/>
      <c r="BK83" s="30"/>
      <c r="BL83" s="30"/>
      <c r="BM83" s="30"/>
      <c r="BN83" s="30"/>
      <c r="BO83" s="30"/>
      <c r="BP83" s="31"/>
      <c r="BQ83" s="29">
        <v>42020</v>
      </c>
      <c r="BR83" s="30"/>
      <c r="BS83" s="30"/>
      <c r="BT83" s="30"/>
      <c r="BU83" s="30"/>
      <c r="BV83" s="30"/>
      <c r="BW83" s="30"/>
      <c r="BX83" s="30"/>
      <c r="BY83" s="30"/>
      <c r="BZ83" s="31"/>
      <c r="CA83" s="35">
        <f t="shared" si="20"/>
        <v>3.840301275684896</v>
      </c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7"/>
      <c r="CO83" s="35">
        <f t="shared" si="21"/>
        <v>3.840301275684896</v>
      </c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7"/>
      <c r="DC83" s="35">
        <f t="shared" si="22"/>
        <v>0.021106317034889067</v>
      </c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7"/>
      <c r="DQ83" s="16" t="s">
        <v>43</v>
      </c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8"/>
      <c r="EH83" s="16" t="s">
        <v>43</v>
      </c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8"/>
      <c r="EY83" s="16" t="s">
        <v>43</v>
      </c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8"/>
      <c r="FP83" s="16" t="s">
        <v>43</v>
      </c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8"/>
      <c r="GG83" s="35">
        <f>0.174*0.121300672614305</f>
        <v>0.021106317034889067</v>
      </c>
      <c r="GH83" s="36"/>
      <c r="GI83" s="36"/>
      <c r="GJ83" s="36"/>
      <c r="GK83" s="36"/>
      <c r="GL83" s="36"/>
      <c r="GM83" s="36"/>
      <c r="GN83" s="36"/>
      <c r="GO83" s="36"/>
      <c r="GP83" s="37"/>
      <c r="GQ83" s="35">
        <f>0.36*0.444252801108755</f>
        <v>0.15993100839915178</v>
      </c>
      <c r="GR83" s="36"/>
      <c r="GS83" s="36"/>
      <c r="GT83" s="36"/>
      <c r="GU83" s="36"/>
      <c r="GV83" s="36"/>
      <c r="GW83" s="36"/>
      <c r="GX83" s="36"/>
      <c r="GY83" s="36"/>
      <c r="GZ83" s="37"/>
      <c r="HA83" s="35">
        <v>0.456</v>
      </c>
      <c r="HB83" s="36"/>
      <c r="HC83" s="36"/>
      <c r="HD83" s="36"/>
      <c r="HE83" s="36"/>
      <c r="HF83" s="36"/>
      <c r="HG83" s="36"/>
      <c r="HH83" s="36"/>
      <c r="HI83" s="36"/>
      <c r="HJ83" s="37"/>
      <c r="HK83" s="35">
        <f>6.377*0.440530649247429</f>
        <v>2.809263950250855</v>
      </c>
      <c r="HL83" s="36"/>
      <c r="HM83" s="36"/>
      <c r="HN83" s="36"/>
      <c r="HO83" s="36"/>
      <c r="HP83" s="36"/>
      <c r="HQ83" s="36"/>
      <c r="HR83" s="36"/>
      <c r="HS83" s="36"/>
      <c r="HT83" s="37"/>
      <c r="HU83" s="35">
        <v>0.394</v>
      </c>
      <c r="HV83" s="36"/>
      <c r="HW83" s="36"/>
      <c r="HX83" s="36"/>
      <c r="HY83" s="36"/>
      <c r="HZ83" s="36"/>
      <c r="IA83" s="36"/>
      <c r="IB83" s="36"/>
      <c r="IC83" s="36"/>
      <c r="ID83" s="37"/>
      <c r="IE83" s="35">
        <f t="shared" si="23"/>
        <v>3.840301275684896</v>
      </c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42"/>
      <c r="IQ83" s="8"/>
    </row>
    <row r="84" spans="1:251" ht="31.5" customHeight="1">
      <c r="A84" s="26" t="s">
        <v>199</v>
      </c>
      <c r="B84" s="27"/>
      <c r="C84" s="27"/>
      <c r="D84" s="27"/>
      <c r="E84" s="28"/>
      <c r="F84" s="23" t="s">
        <v>114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5"/>
      <c r="AF84" s="16"/>
      <c r="AG84" s="17"/>
      <c r="AH84" s="17"/>
      <c r="AI84" s="17"/>
      <c r="AJ84" s="17"/>
      <c r="AK84" s="17"/>
      <c r="AL84" s="17"/>
      <c r="AM84" s="17"/>
      <c r="AN84" s="17"/>
      <c r="AO84" s="18"/>
      <c r="AP84" s="16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8"/>
      <c r="BG84" s="29">
        <v>32016</v>
      </c>
      <c r="BH84" s="30"/>
      <c r="BI84" s="30"/>
      <c r="BJ84" s="30"/>
      <c r="BK84" s="30"/>
      <c r="BL84" s="30"/>
      <c r="BM84" s="30"/>
      <c r="BN84" s="30"/>
      <c r="BO84" s="30"/>
      <c r="BP84" s="31"/>
      <c r="BQ84" s="29">
        <v>42020</v>
      </c>
      <c r="BR84" s="30"/>
      <c r="BS84" s="30"/>
      <c r="BT84" s="30"/>
      <c r="BU84" s="30"/>
      <c r="BV84" s="30"/>
      <c r="BW84" s="30"/>
      <c r="BX84" s="30"/>
      <c r="BY84" s="30"/>
      <c r="BZ84" s="31"/>
      <c r="CA84" s="35">
        <f t="shared" si="20"/>
        <v>0.16577785402867584</v>
      </c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7"/>
      <c r="CO84" s="35">
        <f t="shared" si="21"/>
        <v>0.16577785402867584</v>
      </c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7"/>
      <c r="DC84" s="35">
        <f t="shared" si="22"/>
        <v>0.027777854028675844</v>
      </c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7"/>
      <c r="DQ84" s="16" t="s">
        <v>43</v>
      </c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8"/>
      <c r="EH84" s="16" t="s">
        <v>43</v>
      </c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8"/>
      <c r="EY84" s="16" t="s">
        <v>43</v>
      </c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8"/>
      <c r="FP84" s="16" t="s">
        <v>43</v>
      </c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8"/>
      <c r="GG84" s="35">
        <f>0.229*0.121300672614305</f>
        <v>0.027777854028675844</v>
      </c>
      <c r="GH84" s="36"/>
      <c r="GI84" s="36"/>
      <c r="GJ84" s="36"/>
      <c r="GK84" s="36"/>
      <c r="GL84" s="36"/>
      <c r="GM84" s="36"/>
      <c r="GN84" s="36"/>
      <c r="GO84" s="36"/>
      <c r="GP84" s="37"/>
      <c r="GQ84" s="35">
        <v>0</v>
      </c>
      <c r="GR84" s="36"/>
      <c r="GS84" s="36"/>
      <c r="GT84" s="36"/>
      <c r="GU84" s="36"/>
      <c r="GV84" s="36"/>
      <c r="GW84" s="36"/>
      <c r="GX84" s="36"/>
      <c r="GY84" s="36"/>
      <c r="GZ84" s="37"/>
      <c r="HA84" s="35">
        <v>0</v>
      </c>
      <c r="HB84" s="36"/>
      <c r="HC84" s="36"/>
      <c r="HD84" s="36"/>
      <c r="HE84" s="36"/>
      <c r="HF84" s="36"/>
      <c r="HG84" s="36"/>
      <c r="HH84" s="36"/>
      <c r="HI84" s="36"/>
      <c r="HJ84" s="37"/>
      <c r="HK84" s="35">
        <v>0</v>
      </c>
      <c r="HL84" s="36"/>
      <c r="HM84" s="36"/>
      <c r="HN84" s="36"/>
      <c r="HO84" s="36"/>
      <c r="HP84" s="36"/>
      <c r="HQ84" s="36"/>
      <c r="HR84" s="36"/>
      <c r="HS84" s="36"/>
      <c r="HT84" s="37"/>
      <c r="HU84" s="35">
        <v>0.138</v>
      </c>
      <c r="HV84" s="36"/>
      <c r="HW84" s="36"/>
      <c r="HX84" s="36"/>
      <c r="HY84" s="36"/>
      <c r="HZ84" s="36"/>
      <c r="IA84" s="36"/>
      <c r="IB84" s="36"/>
      <c r="IC84" s="36"/>
      <c r="ID84" s="37"/>
      <c r="IE84" s="35">
        <f t="shared" si="23"/>
        <v>0.16577785402867584</v>
      </c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42"/>
      <c r="IQ84" s="8"/>
    </row>
    <row r="85" spans="1:251" ht="66.75" customHeight="1">
      <c r="A85" s="26" t="s">
        <v>200</v>
      </c>
      <c r="B85" s="27"/>
      <c r="C85" s="27"/>
      <c r="D85" s="27"/>
      <c r="E85" s="28"/>
      <c r="F85" s="23" t="s">
        <v>115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5"/>
      <c r="AF85" s="16"/>
      <c r="AG85" s="17"/>
      <c r="AH85" s="17"/>
      <c r="AI85" s="17"/>
      <c r="AJ85" s="17"/>
      <c r="AK85" s="17"/>
      <c r="AL85" s="17"/>
      <c r="AM85" s="17"/>
      <c r="AN85" s="17"/>
      <c r="AO85" s="18"/>
      <c r="AP85" s="16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8"/>
      <c r="BG85" s="29">
        <v>42016</v>
      </c>
      <c r="BH85" s="30">
        <v>42016</v>
      </c>
      <c r="BI85" s="30">
        <v>42016</v>
      </c>
      <c r="BJ85" s="30">
        <v>42016</v>
      </c>
      <c r="BK85" s="30">
        <v>42016</v>
      </c>
      <c r="BL85" s="30">
        <v>42016</v>
      </c>
      <c r="BM85" s="30">
        <v>42016</v>
      </c>
      <c r="BN85" s="30">
        <v>42016</v>
      </c>
      <c r="BO85" s="30">
        <v>42016</v>
      </c>
      <c r="BP85" s="31">
        <v>42016</v>
      </c>
      <c r="BQ85" s="29">
        <v>42016</v>
      </c>
      <c r="BR85" s="30"/>
      <c r="BS85" s="30"/>
      <c r="BT85" s="30"/>
      <c r="BU85" s="30"/>
      <c r="BV85" s="30"/>
      <c r="BW85" s="30"/>
      <c r="BX85" s="30"/>
      <c r="BY85" s="30"/>
      <c r="BZ85" s="31"/>
      <c r="CA85" s="35">
        <f t="shared" si="20"/>
        <v>0.16132989457702565</v>
      </c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7"/>
      <c r="CO85" s="35">
        <f t="shared" si="21"/>
        <v>0.16132989457702565</v>
      </c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7"/>
      <c r="DC85" s="35">
        <f>GG85</f>
        <v>0.16132989457702565</v>
      </c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7"/>
      <c r="DQ85" s="16" t="s">
        <v>43</v>
      </c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8"/>
      <c r="EH85" s="16" t="s">
        <v>43</v>
      </c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8"/>
      <c r="EY85" s="16" t="s">
        <v>43</v>
      </c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8"/>
      <c r="FP85" s="16" t="s">
        <v>43</v>
      </c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8"/>
      <c r="GG85" s="35">
        <f>1.33*0.121300672614305</f>
        <v>0.16132989457702565</v>
      </c>
      <c r="GH85" s="36"/>
      <c r="GI85" s="36"/>
      <c r="GJ85" s="36"/>
      <c r="GK85" s="36"/>
      <c r="GL85" s="36"/>
      <c r="GM85" s="36"/>
      <c r="GN85" s="36"/>
      <c r="GO85" s="36"/>
      <c r="GP85" s="37"/>
      <c r="GQ85" s="35">
        <v>0</v>
      </c>
      <c r="GR85" s="36"/>
      <c r="GS85" s="36"/>
      <c r="GT85" s="36"/>
      <c r="GU85" s="36"/>
      <c r="GV85" s="36"/>
      <c r="GW85" s="36"/>
      <c r="GX85" s="36"/>
      <c r="GY85" s="36"/>
      <c r="GZ85" s="37"/>
      <c r="HA85" s="35">
        <v>0</v>
      </c>
      <c r="HB85" s="36"/>
      <c r="HC85" s="36"/>
      <c r="HD85" s="36"/>
      <c r="HE85" s="36"/>
      <c r="HF85" s="36"/>
      <c r="HG85" s="36"/>
      <c r="HH85" s="36"/>
      <c r="HI85" s="36"/>
      <c r="HJ85" s="37"/>
      <c r="HK85" s="35">
        <v>0</v>
      </c>
      <c r="HL85" s="36"/>
      <c r="HM85" s="36"/>
      <c r="HN85" s="36"/>
      <c r="HO85" s="36"/>
      <c r="HP85" s="36"/>
      <c r="HQ85" s="36"/>
      <c r="HR85" s="36"/>
      <c r="HS85" s="36"/>
      <c r="HT85" s="37"/>
      <c r="HU85" s="35">
        <v>0</v>
      </c>
      <c r="HV85" s="36"/>
      <c r="HW85" s="36"/>
      <c r="HX85" s="36"/>
      <c r="HY85" s="36"/>
      <c r="HZ85" s="36"/>
      <c r="IA85" s="36"/>
      <c r="IB85" s="36"/>
      <c r="IC85" s="36"/>
      <c r="ID85" s="37"/>
      <c r="IE85" s="35">
        <f>SUM(GG85:ID85)</f>
        <v>0.16132989457702565</v>
      </c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42"/>
      <c r="IQ85" s="8"/>
    </row>
    <row r="86" spans="1:251" ht="21.75" customHeight="1">
      <c r="A86" s="13" t="s">
        <v>201</v>
      </c>
      <c r="B86" s="14"/>
      <c r="C86" s="14"/>
      <c r="D86" s="14"/>
      <c r="E86" s="15"/>
      <c r="F86" s="10" t="s">
        <v>202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2"/>
      <c r="AF86" s="16"/>
      <c r="AG86" s="17"/>
      <c r="AH86" s="17"/>
      <c r="AI86" s="17"/>
      <c r="AJ86" s="17"/>
      <c r="AK86" s="17"/>
      <c r="AL86" s="17"/>
      <c r="AM86" s="17"/>
      <c r="AN86" s="17"/>
      <c r="AO86" s="18"/>
      <c r="AP86" s="16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8"/>
      <c r="BG86" s="29">
        <v>12016</v>
      </c>
      <c r="BH86" s="30">
        <v>42016</v>
      </c>
      <c r="BI86" s="30">
        <v>42016</v>
      </c>
      <c r="BJ86" s="30">
        <v>42016</v>
      </c>
      <c r="BK86" s="30">
        <v>42016</v>
      </c>
      <c r="BL86" s="30">
        <v>42016</v>
      </c>
      <c r="BM86" s="30">
        <v>42016</v>
      </c>
      <c r="BN86" s="30">
        <v>42016</v>
      </c>
      <c r="BO86" s="30">
        <v>42016</v>
      </c>
      <c r="BP86" s="31">
        <v>42016</v>
      </c>
      <c r="BQ86" s="29">
        <v>42020</v>
      </c>
      <c r="BR86" s="30"/>
      <c r="BS86" s="30"/>
      <c r="BT86" s="30"/>
      <c r="BU86" s="30"/>
      <c r="BV86" s="30"/>
      <c r="BW86" s="30"/>
      <c r="BX86" s="30"/>
      <c r="BY86" s="30"/>
      <c r="BZ86" s="31"/>
      <c r="CA86" s="35">
        <v>0</v>
      </c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7"/>
      <c r="CO86" s="35">
        <f t="shared" si="21"/>
        <v>50.100740000000016</v>
      </c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7"/>
      <c r="DC86" s="35">
        <v>0</v>
      </c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7"/>
      <c r="DQ86" s="16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8"/>
      <c r="EH86" s="16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8"/>
      <c r="EY86" s="16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8"/>
      <c r="FP86" s="16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8"/>
      <c r="GG86" s="35">
        <v>0</v>
      </c>
      <c r="GH86" s="36"/>
      <c r="GI86" s="36"/>
      <c r="GJ86" s="36"/>
      <c r="GK86" s="36"/>
      <c r="GL86" s="36"/>
      <c r="GM86" s="36"/>
      <c r="GN86" s="36"/>
      <c r="GO86" s="36"/>
      <c r="GP86" s="37"/>
      <c r="GQ86" s="35">
        <v>0</v>
      </c>
      <c r="GR86" s="36"/>
      <c r="GS86" s="36"/>
      <c r="GT86" s="36"/>
      <c r="GU86" s="36"/>
      <c r="GV86" s="36"/>
      <c r="GW86" s="36"/>
      <c r="GX86" s="36"/>
      <c r="GY86" s="36"/>
      <c r="GZ86" s="37"/>
      <c r="HA86" s="35">
        <v>39.92187000000001</v>
      </c>
      <c r="HB86" s="36"/>
      <c r="HC86" s="36"/>
      <c r="HD86" s="36"/>
      <c r="HE86" s="36"/>
      <c r="HF86" s="36"/>
      <c r="HG86" s="36"/>
      <c r="HH86" s="36"/>
      <c r="HI86" s="36"/>
      <c r="HJ86" s="37"/>
      <c r="HK86" s="35">
        <v>0</v>
      </c>
      <c r="HL86" s="36"/>
      <c r="HM86" s="36"/>
      <c r="HN86" s="36"/>
      <c r="HO86" s="36"/>
      <c r="HP86" s="36"/>
      <c r="HQ86" s="36"/>
      <c r="HR86" s="36"/>
      <c r="HS86" s="36"/>
      <c r="HT86" s="37"/>
      <c r="HU86" s="35">
        <v>10.178870000000003</v>
      </c>
      <c r="HV86" s="36"/>
      <c r="HW86" s="36"/>
      <c r="HX86" s="36"/>
      <c r="HY86" s="36"/>
      <c r="HZ86" s="36"/>
      <c r="IA86" s="36"/>
      <c r="IB86" s="36"/>
      <c r="IC86" s="36"/>
      <c r="ID86" s="37"/>
      <c r="IE86" s="35">
        <f>GG86+GQ86+HA86+HK86+HU86</f>
        <v>50.100740000000016</v>
      </c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42"/>
      <c r="IQ86" s="8"/>
    </row>
    <row r="87" spans="9:10" s="2" customFormat="1" ht="12" customHeight="1">
      <c r="I87" s="9" t="s">
        <v>121</v>
      </c>
      <c r="J87" s="2" t="s">
        <v>122</v>
      </c>
    </row>
    <row r="88" spans="8:10" s="2" customFormat="1" ht="10.5">
      <c r="H88" s="9"/>
      <c r="I88" s="9" t="s">
        <v>123</v>
      </c>
      <c r="J88" s="2" t="s">
        <v>124</v>
      </c>
    </row>
    <row r="89" spans="7:10" s="2" customFormat="1" ht="10.5">
      <c r="G89" s="9"/>
      <c r="H89" s="9"/>
      <c r="I89" s="9" t="s">
        <v>125</v>
      </c>
      <c r="J89" s="2" t="s">
        <v>126</v>
      </c>
    </row>
    <row r="90" spans="6:10" s="2" customFormat="1" ht="12.75" customHeight="1">
      <c r="F90" s="9"/>
      <c r="G90" s="9"/>
      <c r="H90" s="9"/>
      <c r="I90" s="9" t="s">
        <v>127</v>
      </c>
      <c r="J90" s="2" t="s">
        <v>128</v>
      </c>
    </row>
    <row r="91" s="2" customFormat="1" ht="10.5"/>
    <row r="92" s="2" customFormat="1" ht="10.5">
      <c r="F92" s="2" t="s">
        <v>129</v>
      </c>
    </row>
  </sheetData>
  <sheetProtection/>
  <mergeCells count="1469">
    <mergeCell ref="IE86:IP86"/>
    <mergeCell ref="FP86:GF86"/>
    <mergeCell ref="GG86:GP86"/>
    <mergeCell ref="GQ86:GZ86"/>
    <mergeCell ref="HA86:HJ86"/>
    <mergeCell ref="HK86:HT86"/>
    <mergeCell ref="HU86:ID86"/>
    <mergeCell ref="CA86:CN86"/>
    <mergeCell ref="CO86:DB86"/>
    <mergeCell ref="DC86:DP86"/>
    <mergeCell ref="DQ86:EG86"/>
    <mergeCell ref="EH86:EX86"/>
    <mergeCell ref="EY86:FO86"/>
    <mergeCell ref="A86:E86"/>
    <mergeCell ref="F86:AE86"/>
    <mergeCell ref="AF86:AO86"/>
    <mergeCell ref="AP86:BF86"/>
    <mergeCell ref="BG86:BP86"/>
    <mergeCell ref="BQ86:BZ86"/>
    <mergeCell ref="IE29:IP29"/>
    <mergeCell ref="EY29:FO29"/>
    <mergeCell ref="FP29:GF29"/>
    <mergeCell ref="GG29:GP29"/>
    <mergeCell ref="HA29:HJ29"/>
    <mergeCell ref="HK29:HT29"/>
    <mergeCell ref="HU29:ID29"/>
    <mergeCell ref="GQ29:GZ29"/>
    <mergeCell ref="FP28:GF28"/>
    <mergeCell ref="GG28:GP28"/>
    <mergeCell ref="HA28:HJ28"/>
    <mergeCell ref="HK28:HT28"/>
    <mergeCell ref="HU28:ID28"/>
    <mergeCell ref="IE28:IP28"/>
    <mergeCell ref="GQ28:GZ28"/>
    <mergeCell ref="FP27:GF27"/>
    <mergeCell ref="GG27:GP27"/>
    <mergeCell ref="HA27:HJ27"/>
    <mergeCell ref="HK27:HT27"/>
    <mergeCell ref="HU27:ID27"/>
    <mergeCell ref="IE27:IP27"/>
    <mergeCell ref="GQ27:GZ27"/>
    <mergeCell ref="BQ29:BZ29"/>
    <mergeCell ref="CA29:CN29"/>
    <mergeCell ref="CO29:DB29"/>
    <mergeCell ref="DC29:DP29"/>
    <mergeCell ref="DQ27:EG27"/>
    <mergeCell ref="EH27:EX27"/>
    <mergeCell ref="DQ28:EG28"/>
    <mergeCell ref="EH28:EX28"/>
    <mergeCell ref="DQ29:EG29"/>
    <mergeCell ref="EH29:EX29"/>
    <mergeCell ref="DC27:DP27"/>
    <mergeCell ref="AP28:BF28"/>
    <mergeCell ref="BG28:BP28"/>
    <mergeCell ref="BQ28:BZ28"/>
    <mergeCell ref="CA28:CN28"/>
    <mergeCell ref="CO28:DB28"/>
    <mergeCell ref="DC28:DP28"/>
    <mergeCell ref="A30:E30"/>
    <mergeCell ref="F30:AE30"/>
    <mergeCell ref="AF28:AO28"/>
    <mergeCell ref="AF29:AO29"/>
    <mergeCell ref="AP27:BF27"/>
    <mergeCell ref="BG27:BP27"/>
    <mergeCell ref="AP29:BF29"/>
    <mergeCell ref="BG29:BP29"/>
    <mergeCell ref="A27:E27"/>
    <mergeCell ref="F27:AE27"/>
    <mergeCell ref="AF27:AO27"/>
    <mergeCell ref="A28:E28"/>
    <mergeCell ref="F28:AE28"/>
    <mergeCell ref="EY27:FO27"/>
    <mergeCell ref="EY28:FO28"/>
    <mergeCell ref="FP24:GF24"/>
    <mergeCell ref="FP26:GF26"/>
    <mergeCell ref="BQ27:BZ27"/>
    <mergeCell ref="CA27:CN27"/>
    <mergeCell ref="CO27:DB27"/>
    <mergeCell ref="GG24:GP24"/>
    <mergeCell ref="BG24:BP24"/>
    <mergeCell ref="BQ24:BZ24"/>
    <mergeCell ref="HU24:ID24"/>
    <mergeCell ref="DC24:DP24"/>
    <mergeCell ref="HA24:HJ24"/>
    <mergeCell ref="CA24:CN24"/>
    <mergeCell ref="CO24:DB24"/>
    <mergeCell ref="HK24:HT24"/>
    <mergeCell ref="HU23:ID23"/>
    <mergeCell ref="IE23:IP23"/>
    <mergeCell ref="DC23:DP23"/>
    <mergeCell ref="DQ23:EG23"/>
    <mergeCell ref="EH23:EX23"/>
    <mergeCell ref="EY23:FO23"/>
    <mergeCell ref="FP23:GF23"/>
    <mergeCell ref="GG23:GP23"/>
    <mergeCell ref="HU22:ID22"/>
    <mergeCell ref="IE22:IP22"/>
    <mergeCell ref="A23:E23"/>
    <mergeCell ref="F23:AE23"/>
    <mergeCell ref="AF23:AO23"/>
    <mergeCell ref="AP23:BF23"/>
    <mergeCell ref="BG23:BP23"/>
    <mergeCell ref="BQ23:BZ23"/>
    <mergeCell ref="CA23:CN23"/>
    <mergeCell ref="HK23:HT23"/>
    <mergeCell ref="DQ22:EG22"/>
    <mergeCell ref="EH22:EX22"/>
    <mergeCell ref="EY22:FO22"/>
    <mergeCell ref="FP22:GF22"/>
    <mergeCell ref="GG22:GP22"/>
    <mergeCell ref="HK22:HT22"/>
    <mergeCell ref="AF22:AO22"/>
    <mergeCell ref="AP22:BF22"/>
    <mergeCell ref="BG22:BP22"/>
    <mergeCell ref="BQ22:BZ22"/>
    <mergeCell ref="CA22:CN22"/>
    <mergeCell ref="CO22:DB22"/>
    <mergeCell ref="F9:AE11"/>
    <mergeCell ref="BG9:BP11"/>
    <mergeCell ref="BQ9:BZ11"/>
    <mergeCell ref="AF9:AO10"/>
    <mergeCell ref="AF11:AO11"/>
    <mergeCell ref="AP9:BF10"/>
    <mergeCell ref="AP11:BF11"/>
    <mergeCell ref="DC11:DP11"/>
    <mergeCell ref="DQ11:EG11"/>
    <mergeCell ref="DQ10:EG10"/>
    <mergeCell ref="CA9:CN10"/>
    <mergeCell ref="CA11:CN11"/>
    <mergeCell ref="CO9:DB10"/>
    <mergeCell ref="CO11:DB11"/>
    <mergeCell ref="FP11:GF11"/>
    <mergeCell ref="DQ9:GF9"/>
    <mergeCell ref="GG11:GP11"/>
    <mergeCell ref="GG10:GP10"/>
    <mergeCell ref="EH10:EX10"/>
    <mergeCell ref="EH11:EX11"/>
    <mergeCell ref="EY10:FO10"/>
    <mergeCell ref="EY11:FO11"/>
    <mergeCell ref="IE11:IP11"/>
    <mergeCell ref="GG9:IP9"/>
    <mergeCell ref="HT1:IP1"/>
    <mergeCell ref="HT3:IP3"/>
    <mergeCell ref="HK10:HT10"/>
    <mergeCell ref="HK11:HT11"/>
    <mergeCell ref="HU10:ID10"/>
    <mergeCell ref="HU11:ID11"/>
    <mergeCell ref="II6:IK6"/>
    <mergeCell ref="HU6:IE6"/>
    <mergeCell ref="HO4:IP4"/>
    <mergeCell ref="A2:IP2"/>
    <mergeCell ref="IF6:IH6"/>
    <mergeCell ref="HO5:IP5"/>
    <mergeCell ref="GQ10:GZ10"/>
    <mergeCell ref="IE10:IP10"/>
    <mergeCell ref="FP10:GF10"/>
    <mergeCell ref="DC9:DP10"/>
    <mergeCell ref="A9:E11"/>
    <mergeCell ref="GQ11:GZ11"/>
    <mergeCell ref="BG12:BP12"/>
    <mergeCell ref="BQ12:BZ12"/>
    <mergeCell ref="CA12:CN12"/>
    <mergeCell ref="CO12:DB12"/>
    <mergeCell ref="A12:E12"/>
    <mergeCell ref="F12:AE12"/>
    <mergeCell ref="AF12:AO12"/>
    <mergeCell ref="AP12:BF12"/>
    <mergeCell ref="FP12:GF12"/>
    <mergeCell ref="GG12:GP12"/>
    <mergeCell ref="HK12:HT12"/>
    <mergeCell ref="HU12:ID12"/>
    <mergeCell ref="DC12:DP12"/>
    <mergeCell ref="DQ12:EG12"/>
    <mergeCell ref="EH12:EX12"/>
    <mergeCell ref="EY12:FO12"/>
    <mergeCell ref="HA12:HJ12"/>
    <mergeCell ref="GQ12:GZ12"/>
    <mergeCell ref="IE12:IP12"/>
    <mergeCell ref="A13:E13"/>
    <mergeCell ref="F13:AE13"/>
    <mergeCell ref="AF13:AO13"/>
    <mergeCell ref="AP13:BF13"/>
    <mergeCell ref="BG13:BP13"/>
    <mergeCell ref="BQ13:BZ13"/>
    <mergeCell ref="CA13:CN13"/>
    <mergeCell ref="CO13:DB13"/>
    <mergeCell ref="DC13:DP13"/>
    <mergeCell ref="GG13:GP13"/>
    <mergeCell ref="HK13:HT13"/>
    <mergeCell ref="HU13:ID13"/>
    <mergeCell ref="IE13:IP13"/>
    <mergeCell ref="DQ13:EG13"/>
    <mergeCell ref="EH13:EX13"/>
    <mergeCell ref="EY13:FO13"/>
    <mergeCell ref="FP13:GF13"/>
    <mergeCell ref="HA13:HJ13"/>
    <mergeCell ref="GQ13:GZ13"/>
    <mergeCell ref="BG14:BP14"/>
    <mergeCell ref="BQ14:BZ14"/>
    <mergeCell ref="CA14:CN14"/>
    <mergeCell ref="CO14:DB14"/>
    <mergeCell ref="A14:E14"/>
    <mergeCell ref="F14:AE14"/>
    <mergeCell ref="AF14:AO14"/>
    <mergeCell ref="AP14:BF14"/>
    <mergeCell ref="GG14:GP14"/>
    <mergeCell ref="HK14:HT14"/>
    <mergeCell ref="HU14:ID14"/>
    <mergeCell ref="DC14:DP14"/>
    <mergeCell ref="DQ14:EG14"/>
    <mergeCell ref="EH14:EX14"/>
    <mergeCell ref="EY14:FO14"/>
    <mergeCell ref="HA14:HJ14"/>
    <mergeCell ref="GQ14:GZ14"/>
    <mergeCell ref="IE14:IP14"/>
    <mergeCell ref="A15:E15"/>
    <mergeCell ref="AF15:AO15"/>
    <mergeCell ref="AP15:BF15"/>
    <mergeCell ref="BG15:BP15"/>
    <mergeCell ref="BQ15:BZ15"/>
    <mergeCell ref="CA15:CN15"/>
    <mergeCell ref="CO15:DB15"/>
    <mergeCell ref="DC15:DP15"/>
    <mergeCell ref="FP14:GF14"/>
    <mergeCell ref="HK15:HT15"/>
    <mergeCell ref="HU15:ID15"/>
    <mergeCell ref="IE15:IP15"/>
    <mergeCell ref="DQ15:EG15"/>
    <mergeCell ref="EH15:EX15"/>
    <mergeCell ref="EY15:FO15"/>
    <mergeCell ref="FP15:GF15"/>
    <mergeCell ref="HA15:HJ15"/>
    <mergeCell ref="GG15:GP15"/>
    <mergeCell ref="GQ15:GZ15"/>
    <mergeCell ref="AP16:BF16"/>
    <mergeCell ref="BG16:BP16"/>
    <mergeCell ref="BQ16:BZ16"/>
    <mergeCell ref="CA16:CN16"/>
    <mergeCell ref="FP16:GF16"/>
    <mergeCell ref="GG16:GP16"/>
    <mergeCell ref="HK16:HT16"/>
    <mergeCell ref="CO16:DB16"/>
    <mergeCell ref="DC16:DP16"/>
    <mergeCell ref="DQ16:EG16"/>
    <mergeCell ref="EH16:EX16"/>
    <mergeCell ref="CO17:DB17"/>
    <mergeCell ref="EY16:FO16"/>
    <mergeCell ref="GG17:GP17"/>
    <mergeCell ref="HK17:HT17"/>
    <mergeCell ref="GQ16:GZ16"/>
    <mergeCell ref="AF16:AO16"/>
    <mergeCell ref="HA16:HJ16"/>
    <mergeCell ref="HU16:ID16"/>
    <mergeCell ref="IE16:IP16"/>
    <mergeCell ref="A17:E17"/>
    <mergeCell ref="AF17:AO17"/>
    <mergeCell ref="AP17:BF17"/>
    <mergeCell ref="BG17:BP17"/>
    <mergeCell ref="BQ17:BZ17"/>
    <mergeCell ref="CA17:CN17"/>
    <mergeCell ref="HU17:ID17"/>
    <mergeCell ref="DC17:DP17"/>
    <mergeCell ref="DQ17:EG17"/>
    <mergeCell ref="EH17:EX17"/>
    <mergeCell ref="EY17:FO17"/>
    <mergeCell ref="HA17:HJ17"/>
    <mergeCell ref="FP17:GF17"/>
    <mergeCell ref="GQ17:GZ17"/>
    <mergeCell ref="IE17:IP17"/>
    <mergeCell ref="A18:E18"/>
    <mergeCell ref="F18:AE18"/>
    <mergeCell ref="AF18:AO18"/>
    <mergeCell ref="AP18:BF18"/>
    <mergeCell ref="BG18:BP18"/>
    <mergeCell ref="BQ18:BZ18"/>
    <mergeCell ref="CA18:CN18"/>
    <mergeCell ref="CO18:DB18"/>
    <mergeCell ref="DC18:DP18"/>
    <mergeCell ref="GG18:GP18"/>
    <mergeCell ref="HK18:HT18"/>
    <mergeCell ref="HU18:ID18"/>
    <mergeCell ref="IE18:IP18"/>
    <mergeCell ref="DQ18:EG18"/>
    <mergeCell ref="EH18:EX18"/>
    <mergeCell ref="EY18:FO18"/>
    <mergeCell ref="FP18:GF18"/>
    <mergeCell ref="HA18:HJ18"/>
    <mergeCell ref="GQ18:GZ18"/>
    <mergeCell ref="CA21:CN21"/>
    <mergeCell ref="CO21:DB21"/>
    <mergeCell ref="CO23:DB23"/>
    <mergeCell ref="HU19:ID19"/>
    <mergeCell ref="DC19:DP19"/>
    <mergeCell ref="DQ19:EG19"/>
    <mergeCell ref="EH19:EX19"/>
    <mergeCell ref="EY19:FO19"/>
    <mergeCell ref="CO19:DB19"/>
    <mergeCell ref="DC22:DP22"/>
    <mergeCell ref="GQ19:GZ19"/>
    <mergeCell ref="FP20:GF20"/>
    <mergeCell ref="IE19:IP19"/>
    <mergeCell ref="A20:E20"/>
    <mergeCell ref="BQ20:BZ20"/>
    <mergeCell ref="CA20:CN20"/>
    <mergeCell ref="CO20:DB20"/>
    <mergeCell ref="DC20:DP20"/>
    <mergeCell ref="FP19:GF19"/>
    <mergeCell ref="CA19:CN19"/>
    <mergeCell ref="HK19:HT19"/>
    <mergeCell ref="AP24:BF24"/>
    <mergeCell ref="GG20:GP20"/>
    <mergeCell ref="HK20:HT20"/>
    <mergeCell ref="DQ24:EG24"/>
    <mergeCell ref="EH24:EX24"/>
    <mergeCell ref="EY24:FO24"/>
    <mergeCell ref="FP21:GF21"/>
    <mergeCell ref="GG21:GP21"/>
    <mergeCell ref="HA19:HJ19"/>
    <mergeCell ref="AF19:AO19"/>
    <mergeCell ref="AP19:BF19"/>
    <mergeCell ref="BG19:BP19"/>
    <mergeCell ref="BQ19:BZ19"/>
    <mergeCell ref="HK21:HT21"/>
    <mergeCell ref="DC21:DP21"/>
    <mergeCell ref="DQ21:EG21"/>
    <mergeCell ref="EH21:EX21"/>
    <mergeCell ref="EY21:FO21"/>
    <mergeCell ref="GG19:GP19"/>
    <mergeCell ref="EH20:EX20"/>
    <mergeCell ref="F15:AE15"/>
    <mergeCell ref="F16:AE16"/>
    <mergeCell ref="A19:E19"/>
    <mergeCell ref="F19:AE19"/>
    <mergeCell ref="A16:E16"/>
    <mergeCell ref="F17:AE17"/>
    <mergeCell ref="AP20:BF20"/>
    <mergeCell ref="BG20:BP20"/>
    <mergeCell ref="DQ20:EG20"/>
    <mergeCell ref="IE21:IP21"/>
    <mergeCell ref="HU21:ID21"/>
    <mergeCell ref="BG21:BP21"/>
    <mergeCell ref="BQ21:BZ21"/>
    <mergeCell ref="AP21:BF21"/>
    <mergeCell ref="HU20:ID20"/>
    <mergeCell ref="IE20:IP20"/>
    <mergeCell ref="EY20:FO20"/>
    <mergeCell ref="GQ20:GZ20"/>
    <mergeCell ref="GQ21:GZ21"/>
    <mergeCell ref="F21:AE21"/>
    <mergeCell ref="A24:E24"/>
    <mergeCell ref="F24:AE24"/>
    <mergeCell ref="F20:AE20"/>
    <mergeCell ref="A21:E21"/>
    <mergeCell ref="AF20:AO20"/>
    <mergeCell ref="AF21:AO21"/>
    <mergeCell ref="AF24:AO24"/>
    <mergeCell ref="A22:E22"/>
    <mergeCell ref="F22:AE22"/>
    <mergeCell ref="IE24:IP24"/>
    <mergeCell ref="A25:E25"/>
    <mergeCell ref="F25:AE25"/>
    <mergeCell ref="AF25:AO25"/>
    <mergeCell ref="AP25:BF25"/>
    <mergeCell ref="BG25:BP25"/>
    <mergeCell ref="BQ25:BZ25"/>
    <mergeCell ref="CA25:CN25"/>
    <mergeCell ref="EY25:FO25"/>
    <mergeCell ref="FP25:GF25"/>
    <mergeCell ref="GG25:GP25"/>
    <mergeCell ref="HK25:HT25"/>
    <mergeCell ref="CO25:DB25"/>
    <mergeCell ref="DC25:DP25"/>
    <mergeCell ref="DQ25:EG25"/>
    <mergeCell ref="EH25:EX25"/>
    <mergeCell ref="HA25:HJ25"/>
    <mergeCell ref="GQ25:GZ25"/>
    <mergeCell ref="HU25:ID25"/>
    <mergeCell ref="IE25:IP25"/>
    <mergeCell ref="A26:E26"/>
    <mergeCell ref="F26:AE26"/>
    <mergeCell ref="AF26:AO26"/>
    <mergeCell ref="AP26:BF26"/>
    <mergeCell ref="BG26:BP26"/>
    <mergeCell ref="BQ26:BZ26"/>
    <mergeCell ref="CA26:CN26"/>
    <mergeCell ref="CO26:DB26"/>
    <mergeCell ref="GG26:GP26"/>
    <mergeCell ref="HK26:HT26"/>
    <mergeCell ref="HU26:ID26"/>
    <mergeCell ref="DC26:DP26"/>
    <mergeCell ref="DQ26:EG26"/>
    <mergeCell ref="EH26:EX26"/>
    <mergeCell ref="EY26:FO26"/>
    <mergeCell ref="HA26:HJ26"/>
    <mergeCell ref="GQ26:GZ26"/>
    <mergeCell ref="IE26:IP26"/>
    <mergeCell ref="A29:E29"/>
    <mergeCell ref="F29:AE29"/>
    <mergeCell ref="AF30:AO30"/>
    <mergeCell ref="AP30:BF30"/>
    <mergeCell ref="BG30:BP30"/>
    <mergeCell ref="BQ30:BZ30"/>
    <mergeCell ref="CA30:CN30"/>
    <mergeCell ref="CO30:DB30"/>
    <mergeCell ref="DC30:DP30"/>
    <mergeCell ref="GG30:GP30"/>
    <mergeCell ref="HK30:HT30"/>
    <mergeCell ref="HU30:ID30"/>
    <mergeCell ref="IE30:IP30"/>
    <mergeCell ref="DQ30:EG30"/>
    <mergeCell ref="EH30:EX30"/>
    <mergeCell ref="EY30:FO30"/>
    <mergeCell ref="FP30:GF30"/>
    <mergeCell ref="HA30:HJ30"/>
    <mergeCell ref="GQ30:GZ30"/>
    <mergeCell ref="BG31:BP31"/>
    <mergeCell ref="BQ31:BZ31"/>
    <mergeCell ref="CA31:CN31"/>
    <mergeCell ref="CO31:DB31"/>
    <mergeCell ref="A31:E31"/>
    <mergeCell ref="F31:AE31"/>
    <mergeCell ref="AF31:AO31"/>
    <mergeCell ref="AP31:BF31"/>
    <mergeCell ref="FP31:GF31"/>
    <mergeCell ref="GG31:GP31"/>
    <mergeCell ref="HK31:HT31"/>
    <mergeCell ref="HU31:ID31"/>
    <mergeCell ref="DC31:DP31"/>
    <mergeCell ref="DQ31:EG31"/>
    <mergeCell ref="EH31:EX31"/>
    <mergeCell ref="EY31:FO31"/>
    <mergeCell ref="HA31:HJ31"/>
    <mergeCell ref="GQ31:GZ31"/>
    <mergeCell ref="IE31:IP31"/>
    <mergeCell ref="A32:E32"/>
    <mergeCell ref="F32:AE32"/>
    <mergeCell ref="AF32:AO32"/>
    <mergeCell ref="AP32:BF32"/>
    <mergeCell ref="BG32:BP32"/>
    <mergeCell ref="BQ32:BZ32"/>
    <mergeCell ref="CA32:CN32"/>
    <mergeCell ref="CO32:DB32"/>
    <mergeCell ref="DC32:DP32"/>
    <mergeCell ref="GG32:GP32"/>
    <mergeCell ref="HK32:HT32"/>
    <mergeCell ref="HU32:ID32"/>
    <mergeCell ref="IE32:IP32"/>
    <mergeCell ref="DQ32:EG32"/>
    <mergeCell ref="EH32:EX32"/>
    <mergeCell ref="EY32:FO32"/>
    <mergeCell ref="FP32:GF32"/>
    <mergeCell ref="HA32:HJ32"/>
    <mergeCell ref="GQ32:GZ32"/>
    <mergeCell ref="BG33:BP33"/>
    <mergeCell ref="BQ33:BZ33"/>
    <mergeCell ref="CA33:CN33"/>
    <mergeCell ref="CO33:DB33"/>
    <mergeCell ref="A33:E33"/>
    <mergeCell ref="F33:AE33"/>
    <mergeCell ref="AF33:AO33"/>
    <mergeCell ref="AP33:BF33"/>
    <mergeCell ref="GG33:GP33"/>
    <mergeCell ref="HK33:HT33"/>
    <mergeCell ref="HU33:ID33"/>
    <mergeCell ref="DC33:DP33"/>
    <mergeCell ref="DQ33:EG33"/>
    <mergeCell ref="EH33:EX33"/>
    <mergeCell ref="EY33:FO33"/>
    <mergeCell ref="HA33:HJ33"/>
    <mergeCell ref="GQ33:GZ33"/>
    <mergeCell ref="IE33:IP33"/>
    <mergeCell ref="F48:AE48"/>
    <mergeCell ref="AF48:AO48"/>
    <mergeCell ref="AP48:BF48"/>
    <mergeCell ref="BG48:BP48"/>
    <mergeCell ref="BQ48:BZ48"/>
    <mergeCell ref="CA48:CN48"/>
    <mergeCell ref="CO48:DB48"/>
    <mergeCell ref="DC48:DP48"/>
    <mergeCell ref="FP33:GF33"/>
    <mergeCell ref="GG48:GP48"/>
    <mergeCell ref="HK48:HT48"/>
    <mergeCell ref="HU48:ID48"/>
    <mergeCell ref="IE48:IP48"/>
    <mergeCell ref="DQ48:EG48"/>
    <mergeCell ref="EH48:EX48"/>
    <mergeCell ref="EY48:FO48"/>
    <mergeCell ref="FP48:GF48"/>
    <mergeCell ref="HA48:HJ48"/>
    <mergeCell ref="BG49:BP49"/>
    <mergeCell ref="BQ49:BZ49"/>
    <mergeCell ref="CA49:CN49"/>
    <mergeCell ref="CO49:DB49"/>
    <mergeCell ref="F49:AE49"/>
    <mergeCell ref="AF49:AO49"/>
    <mergeCell ref="AP49:BF49"/>
    <mergeCell ref="DC49:DP49"/>
    <mergeCell ref="DQ49:EG49"/>
    <mergeCell ref="EH49:EX49"/>
    <mergeCell ref="EY49:FO49"/>
    <mergeCell ref="DQ50:EG50"/>
    <mergeCell ref="EH50:EX50"/>
    <mergeCell ref="EY50:FO50"/>
    <mergeCell ref="FP50:GF50"/>
    <mergeCell ref="IE49:IP49"/>
    <mergeCell ref="FP49:GF49"/>
    <mergeCell ref="GG49:GP49"/>
    <mergeCell ref="HK49:HT49"/>
    <mergeCell ref="HU49:ID49"/>
    <mergeCell ref="GG50:GP50"/>
    <mergeCell ref="HK50:HT50"/>
    <mergeCell ref="HU50:ID50"/>
    <mergeCell ref="IE50:IP50"/>
    <mergeCell ref="DC51:DP51"/>
    <mergeCell ref="DQ51:EG51"/>
    <mergeCell ref="EH51:EX51"/>
    <mergeCell ref="EY51:FO51"/>
    <mergeCell ref="BG51:BP51"/>
    <mergeCell ref="BQ51:BZ51"/>
    <mergeCell ref="CA51:CN51"/>
    <mergeCell ref="CO51:DB51"/>
    <mergeCell ref="IE51:IP51"/>
    <mergeCell ref="FP51:GF51"/>
    <mergeCell ref="GG51:GP51"/>
    <mergeCell ref="HK51:HT51"/>
    <mergeCell ref="HU51:ID51"/>
    <mergeCell ref="F52:AE52"/>
    <mergeCell ref="AF52:AO52"/>
    <mergeCell ref="AP52:BF52"/>
    <mergeCell ref="BG52:BP52"/>
    <mergeCell ref="BQ52:BZ52"/>
    <mergeCell ref="HK52:HT52"/>
    <mergeCell ref="HU52:ID52"/>
    <mergeCell ref="CA52:CN52"/>
    <mergeCell ref="CO52:DB52"/>
    <mergeCell ref="DC52:DP52"/>
    <mergeCell ref="IE52:IP52"/>
    <mergeCell ref="DQ52:EG52"/>
    <mergeCell ref="EH52:EX52"/>
    <mergeCell ref="EY52:FO52"/>
    <mergeCell ref="FP52:GF52"/>
    <mergeCell ref="IE53:IP53"/>
    <mergeCell ref="HU53:ID53"/>
    <mergeCell ref="HK53:HT53"/>
    <mergeCell ref="GG53:GP53"/>
    <mergeCell ref="FP53:GF53"/>
    <mergeCell ref="DC53:DP53"/>
    <mergeCell ref="DQ53:EG53"/>
    <mergeCell ref="EH53:EX53"/>
    <mergeCell ref="EY53:FO53"/>
    <mergeCell ref="HA53:HJ53"/>
    <mergeCell ref="BQ50:BZ50"/>
    <mergeCell ref="CA50:CN50"/>
    <mergeCell ref="CO50:DB50"/>
    <mergeCell ref="DC50:DP50"/>
    <mergeCell ref="F50:AE50"/>
    <mergeCell ref="AF50:AO50"/>
    <mergeCell ref="AP50:BF50"/>
    <mergeCell ref="F53:AE53"/>
    <mergeCell ref="AF53:AO53"/>
    <mergeCell ref="AP53:BF53"/>
    <mergeCell ref="F51:AE51"/>
    <mergeCell ref="AF51:AO51"/>
    <mergeCell ref="BG50:BP50"/>
    <mergeCell ref="AP51:BF51"/>
    <mergeCell ref="CO53:DB53"/>
    <mergeCell ref="BG54:BP54"/>
    <mergeCell ref="BQ54:BZ54"/>
    <mergeCell ref="CA54:CN54"/>
    <mergeCell ref="CO54:DB54"/>
    <mergeCell ref="AF54:AO54"/>
    <mergeCell ref="AP54:BF54"/>
    <mergeCell ref="CA53:CN53"/>
    <mergeCell ref="BG53:BP53"/>
    <mergeCell ref="BQ53:BZ53"/>
    <mergeCell ref="HU54:ID54"/>
    <mergeCell ref="DC54:DP54"/>
    <mergeCell ref="DQ54:EG54"/>
    <mergeCell ref="EH54:EX54"/>
    <mergeCell ref="EY54:FO54"/>
    <mergeCell ref="HA54:HJ54"/>
    <mergeCell ref="IE54:IP54"/>
    <mergeCell ref="AF55:AO55"/>
    <mergeCell ref="AP55:BF55"/>
    <mergeCell ref="BG55:BP55"/>
    <mergeCell ref="BQ55:BZ55"/>
    <mergeCell ref="CA55:CN55"/>
    <mergeCell ref="CO55:DB55"/>
    <mergeCell ref="FP54:GF54"/>
    <mergeCell ref="GG54:GP54"/>
    <mergeCell ref="HK54:HT54"/>
    <mergeCell ref="GG55:GP55"/>
    <mergeCell ref="HK55:HT55"/>
    <mergeCell ref="HU55:ID55"/>
    <mergeCell ref="DC55:DP55"/>
    <mergeCell ref="DQ55:EG55"/>
    <mergeCell ref="EH55:EX55"/>
    <mergeCell ref="EY55:FO55"/>
    <mergeCell ref="HA55:HJ55"/>
    <mergeCell ref="IE55:IP55"/>
    <mergeCell ref="F56:AE56"/>
    <mergeCell ref="AF56:AO56"/>
    <mergeCell ref="AP56:BF56"/>
    <mergeCell ref="BG56:BP56"/>
    <mergeCell ref="BQ56:BZ56"/>
    <mergeCell ref="CA56:CN56"/>
    <mergeCell ref="CO56:DB56"/>
    <mergeCell ref="DC56:DP56"/>
    <mergeCell ref="FP55:GF55"/>
    <mergeCell ref="HK56:HT56"/>
    <mergeCell ref="HU56:ID56"/>
    <mergeCell ref="IE56:IP56"/>
    <mergeCell ref="DQ56:EG56"/>
    <mergeCell ref="EH56:EX56"/>
    <mergeCell ref="EY56:FO56"/>
    <mergeCell ref="FP56:GF56"/>
    <mergeCell ref="HA56:HJ56"/>
    <mergeCell ref="GG56:GP56"/>
    <mergeCell ref="BG57:BP57"/>
    <mergeCell ref="BQ57:BZ57"/>
    <mergeCell ref="CA57:CN57"/>
    <mergeCell ref="CO57:DB57"/>
    <mergeCell ref="F57:AE57"/>
    <mergeCell ref="AF57:AO57"/>
    <mergeCell ref="AP57:BF57"/>
    <mergeCell ref="HK57:HT57"/>
    <mergeCell ref="HU57:ID57"/>
    <mergeCell ref="DC57:DP57"/>
    <mergeCell ref="DQ57:EG57"/>
    <mergeCell ref="EH57:EX57"/>
    <mergeCell ref="EY57:FO57"/>
    <mergeCell ref="HA57:HJ57"/>
    <mergeCell ref="IE57:IP57"/>
    <mergeCell ref="F58:AE58"/>
    <mergeCell ref="AF58:AO58"/>
    <mergeCell ref="AP58:BF58"/>
    <mergeCell ref="BG58:BP58"/>
    <mergeCell ref="BQ58:BZ58"/>
    <mergeCell ref="CA58:CN58"/>
    <mergeCell ref="CO58:DB58"/>
    <mergeCell ref="DC58:DP58"/>
    <mergeCell ref="FP57:GF57"/>
    <mergeCell ref="HK58:HT58"/>
    <mergeCell ref="HU58:ID58"/>
    <mergeCell ref="IE58:IP58"/>
    <mergeCell ref="DQ58:EG58"/>
    <mergeCell ref="EH58:EX58"/>
    <mergeCell ref="EY58:FO58"/>
    <mergeCell ref="FP58:GF58"/>
    <mergeCell ref="HA58:HJ58"/>
    <mergeCell ref="GG58:GP58"/>
    <mergeCell ref="BG59:BP59"/>
    <mergeCell ref="BQ59:BZ59"/>
    <mergeCell ref="CA59:CN59"/>
    <mergeCell ref="CO59:DB59"/>
    <mergeCell ref="F59:AE59"/>
    <mergeCell ref="AF59:AO59"/>
    <mergeCell ref="AP59:BF59"/>
    <mergeCell ref="HK59:HT59"/>
    <mergeCell ref="HU59:ID59"/>
    <mergeCell ref="DC59:DP59"/>
    <mergeCell ref="DQ59:EG59"/>
    <mergeCell ref="EH59:EX59"/>
    <mergeCell ref="EY59:FO59"/>
    <mergeCell ref="HA59:HJ59"/>
    <mergeCell ref="GQ59:GZ59"/>
    <mergeCell ref="IE59:IP59"/>
    <mergeCell ref="AF60:AO60"/>
    <mergeCell ref="AP60:BF60"/>
    <mergeCell ref="BG60:BP60"/>
    <mergeCell ref="BQ60:BZ60"/>
    <mergeCell ref="CA60:CN60"/>
    <mergeCell ref="CO60:DB60"/>
    <mergeCell ref="DC60:DP60"/>
    <mergeCell ref="FP59:GF59"/>
    <mergeCell ref="GG59:GP59"/>
    <mergeCell ref="HU60:ID60"/>
    <mergeCell ref="IE60:IP60"/>
    <mergeCell ref="DQ60:EG60"/>
    <mergeCell ref="EH60:EX60"/>
    <mergeCell ref="EY60:FO60"/>
    <mergeCell ref="FP60:GF60"/>
    <mergeCell ref="HA60:HJ60"/>
    <mergeCell ref="AP61:BF61"/>
    <mergeCell ref="BG61:BP61"/>
    <mergeCell ref="BQ61:BZ61"/>
    <mergeCell ref="CA61:CN61"/>
    <mergeCell ref="AF61:AO61"/>
    <mergeCell ref="HK60:HT60"/>
    <mergeCell ref="CO61:DB61"/>
    <mergeCell ref="GG60:GP60"/>
    <mergeCell ref="GQ60:GZ60"/>
    <mergeCell ref="GQ61:GZ61"/>
    <mergeCell ref="CO62:DB62"/>
    <mergeCell ref="EY61:FO61"/>
    <mergeCell ref="DC61:DP61"/>
    <mergeCell ref="DQ61:EG61"/>
    <mergeCell ref="EH61:EX61"/>
    <mergeCell ref="HA61:HJ61"/>
    <mergeCell ref="DQ62:EG62"/>
    <mergeCell ref="EH62:EX62"/>
    <mergeCell ref="EY62:FO62"/>
    <mergeCell ref="HA62:HJ62"/>
    <mergeCell ref="F62:AE62"/>
    <mergeCell ref="AF62:AO62"/>
    <mergeCell ref="AP62:BF62"/>
    <mergeCell ref="BG62:BP62"/>
    <mergeCell ref="BQ62:BZ62"/>
    <mergeCell ref="CA62:CN62"/>
    <mergeCell ref="HU61:ID61"/>
    <mergeCell ref="IE61:IP61"/>
    <mergeCell ref="IE62:IP62"/>
    <mergeCell ref="F63:AE63"/>
    <mergeCell ref="AF63:AO63"/>
    <mergeCell ref="AP63:BF63"/>
    <mergeCell ref="BG63:BP63"/>
    <mergeCell ref="BQ63:BZ63"/>
    <mergeCell ref="CA63:CN63"/>
    <mergeCell ref="FP62:GF62"/>
    <mergeCell ref="HU62:ID62"/>
    <mergeCell ref="DC62:DP62"/>
    <mergeCell ref="EH63:EX63"/>
    <mergeCell ref="CO63:DB63"/>
    <mergeCell ref="DC63:DP63"/>
    <mergeCell ref="DC64:DP64"/>
    <mergeCell ref="DQ64:EG64"/>
    <mergeCell ref="EY63:FO63"/>
    <mergeCell ref="GQ62:GZ62"/>
    <mergeCell ref="GQ63:GZ63"/>
    <mergeCell ref="IE63:IP63"/>
    <mergeCell ref="IE64:IP64"/>
    <mergeCell ref="FP64:GF64"/>
    <mergeCell ref="GG64:GP64"/>
    <mergeCell ref="HK64:HT64"/>
    <mergeCell ref="HU64:ID64"/>
    <mergeCell ref="HA63:HJ63"/>
    <mergeCell ref="HA64:HJ64"/>
    <mergeCell ref="FP63:GF63"/>
    <mergeCell ref="GG63:GP63"/>
    <mergeCell ref="GG52:GP52"/>
    <mergeCell ref="GG62:GP62"/>
    <mergeCell ref="GG61:GP61"/>
    <mergeCell ref="GG57:GP57"/>
    <mergeCell ref="HA40:HJ40"/>
    <mergeCell ref="HA10:HJ10"/>
    <mergeCell ref="HA11:HJ11"/>
    <mergeCell ref="HA49:HJ49"/>
    <mergeCell ref="HA50:HJ50"/>
    <mergeCell ref="HA51:HJ51"/>
    <mergeCell ref="HA52:HJ52"/>
    <mergeCell ref="HA20:HJ20"/>
    <mergeCell ref="HA21:HJ21"/>
    <mergeCell ref="HA22:HJ22"/>
    <mergeCell ref="HA23:HJ23"/>
    <mergeCell ref="AF46:AO46"/>
    <mergeCell ref="AP46:BF46"/>
    <mergeCell ref="BG46:BP46"/>
    <mergeCell ref="BQ46:BZ46"/>
    <mergeCell ref="CA46:CN46"/>
    <mergeCell ref="CO46:DB46"/>
    <mergeCell ref="DC46:DP46"/>
    <mergeCell ref="DQ46:EG46"/>
    <mergeCell ref="EH46:EX46"/>
    <mergeCell ref="EY46:FO46"/>
    <mergeCell ref="FP46:GF46"/>
    <mergeCell ref="GG46:GP46"/>
    <mergeCell ref="GG72:GP72"/>
    <mergeCell ref="HA72:HJ72"/>
    <mergeCell ref="HK63:HT63"/>
    <mergeCell ref="HK62:HT62"/>
    <mergeCell ref="FP61:GF61"/>
    <mergeCell ref="HK61:HT61"/>
    <mergeCell ref="HA71:HJ71"/>
    <mergeCell ref="HK71:HT71"/>
    <mergeCell ref="FP68:GF68"/>
    <mergeCell ref="DQ72:EG72"/>
    <mergeCell ref="EH72:EX72"/>
    <mergeCell ref="EY72:FO72"/>
    <mergeCell ref="FP72:GF72"/>
    <mergeCell ref="A34:E34"/>
    <mergeCell ref="F34:AE34"/>
    <mergeCell ref="AF34:AO34"/>
    <mergeCell ref="AP34:BF34"/>
    <mergeCell ref="EH64:EX64"/>
    <mergeCell ref="EY64:FO64"/>
    <mergeCell ref="F72:AE72"/>
    <mergeCell ref="AF72:AO72"/>
    <mergeCell ref="AP72:BF72"/>
    <mergeCell ref="BG72:BP72"/>
    <mergeCell ref="EH34:EX34"/>
    <mergeCell ref="EY34:FO34"/>
    <mergeCell ref="BQ72:BZ72"/>
    <mergeCell ref="CA72:CN72"/>
    <mergeCell ref="CO72:DB72"/>
    <mergeCell ref="DC72:DP72"/>
    <mergeCell ref="IE71:IP71"/>
    <mergeCell ref="DC35:DP35"/>
    <mergeCell ref="DQ35:EG35"/>
    <mergeCell ref="EH35:EX35"/>
    <mergeCell ref="EY35:FO35"/>
    <mergeCell ref="FP34:GF34"/>
    <mergeCell ref="GG34:GP34"/>
    <mergeCell ref="HA34:HJ34"/>
    <mergeCell ref="HK34:HT34"/>
    <mergeCell ref="HU63:ID63"/>
    <mergeCell ref="DC34:DP34"/>
    <mergeCell ref="DQ34:EG34"/>
    <mergeCell ref="FP35:GF35"/>
    <mergeCell ref="GG35:GP35"/>
    <mergeCell ref="HA35:HJ35"/>
    <mergeCell ref="HK35:HT35"/>
    <mergeCell ref="GQ34:GZ34"/>
    <mergeCell ref="GQ35:GZ35"/>
    <mergeCell ref="BQ35:BZ35"/>
    <mergeCell ref="CA35:CN35"/>
    <mergeCell ref="CO35:DB35"/>
    <mergeCell ref="BG34:BP34"/>
    <mergeCell ref="BQ34:BZ34"/>
    <mergeCell ref="CA34:CN34"/>
    <mergeCell ref="CO34:DB34"/>
    <mergeCell ref="HU71:ID71"/>
    <mergeCell ref="HU34:ID34"/>
    <mergeCell ref="IE34:IP34"/>
    <mergeCell ref="A35:E35"/>
    <mergeCell ref="F35:AE35"/>
    <mergeCell ref="AF35:AO35"/>
    <mergeCell ref="AP35:BF35"/>
    <mergeCell ref="BG35:BP35"/>
    <mergeCell ref="CA71:CN71"/>
    <mergeCell ref="CO71:DB71"/>
    <mergeCell ref="DC71:DP71"/>
    <mergeCell ref="HU35:ID35"/>
    <mergeCell ref="IE35:IP35"/>
    <mergeCell ref="DQ71:EG71"/>
    <mergeCell ref="EH71:EX71"/>
    <mergeCell ref="EY71:FO71"/>
    <mergeCell ref="FP71:GF71"/>
    <mergeCell ref="GG71:GP71"/>
    <mergeCell ref="HA45:HJ45"/>
    <mergeCell ref="GQ45:GZ45"/>
    <mergeCell ref="F71:AE71"/>
    <mergeCell ref="AF71:AO71"/>
    <mergeCell ref="AP71:BF71"/>
    <mergeCell ref="BG71:BP71"/>
    <mergeCell ref="BQ71:BZ71"/>
    <mergeCell ref="A36:E36"/>
    <mergeCell ref="BG64:BP64"/>
    <mergeCell ref="BQ64:BZ64"/>
    <mergeCell ref="AF45:AO45"/>
    <mergeCell ref="AP45:BF45"/>
    <mergeCell ref="CA64:CN64"/>
    <mergeCell ref="CO64:DB64"/>
    <mergeCell ref="F64:AE64"/>
    <mergeCell ref="AF64:AO64"/>
    <mergeCell ref="AP64:BF64"/>
    <mergeCell ref="DQ63:EG63"/>
    <mergeCell ref="HU45:ID45"/>
    <mergeCell ref="IE45:IP45"/>
    <mergeCell ref="DC45:DP45"/>
    <mergeCell ref="DQ45:EG45"/>
    <mergeCell ref="EH45:EX45"/>
    <mergeCell ref="EY45:FO45"/>
    <mergeCell ref="FP45:GF45"/>
    <mergeCell ref="GG45:GP45"/>
    <mergeCell ref="A37:E37"/>
    <mergeCell ref="A38:E38"/>
    <mergeCell ref="CA37:CN37"/>
    <mergeCell ref="CO42:DB42"/>
    <mergeCell ref="A42:E42"/>
    <mergeCell ref="F42:AE42"/>
    <mergeCell ref="HK44:HT44"/>
    <mergeCell ref="HU44:ID44"/>
    <mergeCell ref="IE44:IP44"/>
    <mergeCell ref="EY44:FO44"/>
    <mergeCell ref="FP44:GF44"/>
    <mergeCell ref="BG45:BP45"/>
    <mergeCell ref="BQ45:BZ45"/>
    <mergeCell ref="CA45:CN45"/>
    <mergeCell ref="CO45:DB45"/>
    <mergeCell ref="HK45:HT45"/>
    <mergeCell ref="F36:AE36"/>
    <mergeCell ref="F37:AE37"/>
    <mergeCell ref="DQ44:EG44"/>
    <mergeCell ref="EH44:EX44"/>
    <mergeCell ref="AF36:AO36"/>
    <mergeCell ref="AF37:AO37"/>
    <mergeCell ref="CO43:DB43"/>
    <mergeCell ref="DC43:DP43"/>
    <mergeCell ref="EH40:EX40"/>
    <mergeCell ref="CA36:CN36"/>
    <mergeCell ref="IE43:IP43"/>
    <mergeCell ref="A44:E44"/>
    <mergeCell ref="F44:AE44"/>
    <mergeCell ref="AF44:AO44"/>
    <mergeCell ref="AP44:BF44"/>
    <mergeCell ref="BG44:BP44"/>
    <mergeCell ref="BQ44:BZ44"/>
    <mergeCell ref="CA44:CN44"/>
    <mergeCell ref="CO44:DB44"/>
    <mergeCell ref="DC44:DP44"/>
    <mergeCell ref="HU43:ID43"/>
    <mergeCell ref="AP36:BF36"/>
    <mergeCell ref="AP37:BF37"/>
    <mergeCell ref="BG36:BP36"/>
    <mergeCell ref="BG37:BP37"/>
    <mergeCell ref="DQ43:EG43"/>
    <mergeCell ref="EH43:EX43"/>
    <mergeCell ref="BQ36:BZ36"/>
    <mergeCell ref="BQ37:BZ37"/>
    <mergeCell ref="IE42:IP42"/>
    <mergeCell ref="A43:E43"/>
    <mergeCell ref="F43:AE43"/>
    <mergeCell ref="AF43:AO43"/>
    <mergeCell ref="AP43:BF43"/>
    <mergeCell ref="BG43:BP43"/>
    <mergeCell ref="BQ43:BZ43"/>
    <mergeCell ref="CA43:CN43"/>
    <mergeCell ref="EY43:FO43"/>
    <mergeCell ref="HK42:HT42"/>
    <mergeCell ref="HU42:ID42"/>
    <mergeCell ref="DQ42:EG42"/>
    <mergeCell ref="EH42:EX42"/>
    <mergeCell ref="EY42:FO42"/>
    <mergeCell ref="FP42:GF42"/>
    <mergeCell ref="GG42:GP42"/>
    <mergeCell ref="DC42:DP42"/>
    <mergeCell ref="CO36:DB36"/>
    <mergeCell ref="CO37:DB37"/>
    <mergeCell ref="DQ40:EG40"/>
    <mergeCell ref="HU41:ID41"/>
    <mergeCell ref="IE41:IP41"/>
    <mergeCell ref="EH41:EX41"/>
    <mergeCell ref="EY41:FO41"/>
    <mergeCell ref="DQ36:EG36"/>
    <mergeCell ref="DQ37:EG37"/>
    <mergeCell ref="AF42:AO42"/>
    <mergeCell ref="AP42:BF42"/>
    <mergeCell ref="BG42:BP42"/>
    <mergeCell ref="BQ42:BZ42"/>
    <mergeCell ref="CA42:CN42"/>
    <mergeCell ref="IE47:IP47"/>
    <mergeCell ref="GQ46:GZ46"/>
    <mergeCell ref="HK47:HT47"/>
    <mergeCell ref="HU47:ID47"/>
    <mergeCell ref="EH47:EX47"/>
    <mergeCell ref="BG41:BP41"/>
    <mergeCell ref="BQ41:BZ41"/>
    <mergeCell ref="CA41:CN41"/>
    <mergeCell ref="CO41:DB41"/>
    <mergeCell ref="DC41:DP41"/>
    <mergeCell ref="DQ41:EG41"/>
    <mergeCell ref="FP41:GF41"/>
    <mergeCell ref="GG41:GP41"/>
    <mergeCell ref="HA41:HJ41"/>
    <mergeCell ref="HK41:HT41"/>
    <mergeCell ref="HA46:HJ46"/>
    <mergeCell ref="HK46:HT46"/>
    <mergeCell ref="GQ44:GZ44"/>
    <mergeCell ref="HK43:HT43"/>
    <mergeCell ref="GG44:GP44"/>
    <mergeCell ref="HA44:HJ44"/>
    <mergeCell ref="EY47:FO47"/>
    <mergeCell ref="FP47:GF47"/>
    <mergeCell ref="GG47:GP47"/>
    <mergeCell ref="HA47:HJ47"/>
    <mergeCell ref="HA42:HJ42"/>
    <mergeCell ref="FP43:GF43"/>
    <mergeCell ref="GG43:GP43"/>
    <mergeCell ref="HA43:HJ43"/>
    <mergeCell ref="GQ42:GZ42"/>
    <mergeCell ref="GQ43:GZ43"/>
    <mergeCell ref="BG47:BP47"/>
    <mergeCell ref="BQ47:BZ47"/>
    <mergeCell ref="EH36:EX36"/>
    <mergeCell ref="EH37:EX37"/>
    <mergeCell ref="CA47:CN47"/>
    <mergeCell ref="CO47:DB47"/>
    <mergeCell ref="DC47:DP47"/>
    <mergeCell ref="DQ47:EG47"/>
    <mergeCell ref="DC40:DP40"/>
    <mergeCell ref="DC36:DP36"/>
    <mergeCell ref="A41:E41"/>
    <mergeCell ref="F41:AE41"/>
    <mergeCell ref="AF41:AO41"/>
    <mergeCell ref="AP41:BF41"/>
    <mergeCell ref="A47:E47"/>
    <mergeCell ref="F47:AE47"/>
    <mergeCell ref="AF47:AO47"/>
    <mergeCell ref="AP47:BF47"/>
    <mergeCell ref="A45:E45"/>
    <mergeCell ref="F45:AE45"/>
    <mergeCell ref="HK40:HT40"/>
    <mergeCell ref="HU40:ID40"/>
    <mergeCell ref="IE40:IP40"/>
    <mergeCell ref="HU46:ID46"/>
    <mergeCell ref="IE46:IP46"/>
    <mergeCell ref="EY40:FO40"/>
    <mergeCell ref="FP40:GF40"/>
    <mergeCell ref="GG40:GP40"/>
    <mergeCell ref="GQ40:GZ40"/>
    <mergeCell ref="GQ41:GZ41"/>
    <mergeCell ref="EY36:FO36"/>
    <mergeCell ref="EY37:FO37"/>
    <mergeCell ref="A40:E40"/>
    <mergeCell ref="F40:AE40"/>
    <mergeCell ref="AF40:AO40"/>
    <mergeCell ref="AP40:BF40"/>
    <mergeCell ref="BG40:BP40"/>
    <mergeCell ref="BQ40:BZ40"/>
    <mergeCell ref="CA40:CN40"/>
    <mergeCell ref="CO40:DB40"/>
    <mergeCell ref="FP36:GF36"/>
    <mergeCell ref="FP37:GF37"/>
    <mergeCell ref="HA36:HJ36"/>
    <mergeCell ref="FP39:GF39"/>
    <mergeCell ref="GG39:GP39"/>
    <mergeCell ref="GG36:GP36"/>
    <mergeCell ref="GG37:GP37"/>
    <mergeCell ref="HA37:HJ37"/>
    <mergeCell ref="GG38:GP38"/>
    <mergeCell ref="HK36:HT36"/>
    <mergeCell ref="HK37:HT37"/>
    <mergeCell ref="HU36:ID36"/>
    <mergeCell ref="HU37:ID37"/>
    <mergeCell ref="IE36:IP36"/>
    <mergeCell ref="IE37:IP37"/>
    <mergeCell ref="DC37:DP37"/>
    <mergeCell ref="A39:E39"/>
    <mergeCell ref="F38:AE38"/>
    <mergeCell ref="AF38:AO38"/>
    <mergeCell ref="AP38:BF38"/>
    <mergeCell ref="BG38:BP38"/>
    <mergeCell ref="BQ38:BZ38"/>
    <mergeCell ref="CA38:CN38"/>
    <mergeCell ref="CO38:DB38"/>
    <mergeCell ref="DC38:DP38"/>
    <mergeCell ref="DQ38:EG38"/>
    <mergeCell ref="EH38:EX38"/>
    <mergeCell ref="EY38:FO38"/>
    <mergeCell ref="FP38:GF38"/>
    <mergeCell ref="HA38:HJ38"/>
    <mergeCell ref="HK38:HT38"/>
    <mergeCell ref="HU38:ID38"/>
    <mergeCell ref="IE38:IP38"/>
    <mergeCell ref="F39:AE39"/>
    <mergeCell ref="AF39:AO39"/>
    <mergeCell ref="AP39:BF39"/>
    <mergeCell ref="BG39:BP39"/>
    <mergeCell ref="BQ39:BZ39"/>
    <mergeCell ref="CA39:CN39"/>
    <mergeCell ref="CO39:DB39"/>
    <mergeCell ref="DC39:DP39"/>
    <mergeCell ref="DQ39:EG39"/>
    <mergeCell ref="EH39:EX39"/>
    <mergeCell ref="EY39:FO39"/>
    <mergeCell ref="HA39:HJ39"/>
    <mergeCell ref="HK39:HT39"/>
    <mergeCell ref="HU39:ID39"/>
    <mergeCell ref="GQ39:GZ39"/>
    <mergeCell ref="IE39:IP39"/>
    <mergeCell ref="A71:E71"/>
    <mergeCell ref="A72:E72"/>
    <mergeCell ref="FP69:GF69"/>
    <mergeCell ref="GG69:GP69"/>
    <mergeCell ref="HA69:HJ69"/>
    <mergeCell ref="HK69:HT69"/>
    <mergeCell ref="HU69:ID69"/>
    <mergeCell ref="IE69:IP69"/>
    <mergeCell ref="GQ69:GZ69"/>
    <mergeCell ref="CA69:CN69"/>
    <mergeCell ref="CO69:DB69"/>
    <mergeCell ref="DC69:DP69"/>
    <mergeCell ref="DQ69:EG69"/>
    <mergeCell ref="EH69:EX69"/>
    <mergeCell ref="EY69:FO69"/>
    <mergeCell ref="A69:E69"/>
    <mergeCell ref="F69:AE69"/>
    <mergeCell ref="AF69:AO69"/>
    <mergeCell ref="AP69:BF69"/>
    <mergeCell ref="BG69:BP69"/>
    <mergeCell ref="BQ69:BZ69"/>
    <mergeCell ref="GG68:GP68"/>
    <mergeCell ref="HA68:HJ68"/>
    <mergeCell ref="HK68:HT68"/>
    <mergeCell ref="HU68:ID68"/>
    <mergeCell ref="IE68:IP68"/>
    <mergeCell ref="GQ68:GZ68"/>
    <mergeCell ref="CA68:CN68"/>
    <mergeCell ref="CO68:DB68"/>
    <mergeCell ref="DC68:DP68"/>
    <mergeCell ref="DQ68:EG68"/>
    <mergeCell ref="EH68:EX68"/>
    <mergeCell ref="EY68:FO68"/>
    <mergeCell ref="A68:E68"/>
    <mergeCell ref="F68:AE68"/>
    <mergeCell ref="AF68:AO68"/>
    <mergeCell ref="AP68:BF68"/>
    <mergeCell ref="BG68:BP68"/>
    <mergeCell ref="BQ68:BZ68"/>
    <mergeCell ref="FP67:GF67"/>
    <mergeCell ref="GG67:GP67"/>
    <mergeCell ref="HA67:HJ67"/>
    <mergeCell ref="HK67:HT67"/>
    <mergeCell ref="HU67:ID67"/>
    <mergeCell ref="IE67:IP67"/>
    <mergeCell ref="GQ67:GZ67"/>
    <mergeCell ref="CA67:CN67"/>
    <mergeCell ref="CO67:DB67"/>
    <mergeCell ref="DC67:DP67"/>
    <mergeCell ref="DQ67:EG67"/>
    <mergeCell ref="EH67:EX67"/>
    <mergeCell ref="EY67:FO67"/>
    <mergeCell ref="A67:E67"/>
    <mergeCell ref="F67:AE67"/>
    <mergeCell ref="AF67:AO67"/>
    <mergeCell ref="AP67:BF67"/>
    <mergeCell ref="BG67:BP67"/>
    <mergeCell ref="BQ67:BZ67"/>
    <mergeCell ref="FP66:GF66"/>
    <mergeCell ref="GG66:GP66"/>
    <mergeCell ref="HA66:HJ66"/>
    <mergeCell ref="HK66:HT66"/>
    <mergeCell ref="HU66:ID66"/>
    <mergeCell ref="IE66:IP66"/>
    <mergeCell ref="GQ66:GZ66"/>
    <mergeCell ref="CA66:CN66"/>
    <mergeCell ref="CO66:DB66"/>
    <mergeCell ref="DC66:DP66"/>
    <mergeCell ref="DQ66:EG66"/>
    <mergeCell ref="EH66:EX66"/>
    <mergeCell ref="EY66:FO66"/>
    <mergeCell ref="A66:E66"/>
    <mergeCell ref="F66:AE66"/>
    <mergeCell ref="AF66:AO66"/>
    <mergeCell ref="AP66:BF66"/>
    <mergeCell ref="BG66:BP66"/>
    <mergeCell ref="BQ66:BZ66"/>
    <mergeCell ref="FP65:GF65"/>
    <mergeCell ref="GG65:GP65"/>
    <mergeCell ref="HA65:HJ65"/>
    <mergeCell ref="HK65:HT65"/>
    <mergeCell ref="HU65:ID65"/>
    <mergeCell ref="IE65:IP65"/>
    <mergeCell ref="CA65:CN65"/>
    <mergeCell ref="CO65:DB65"/>
    <mergeCell ref="DC65:DP65"/>
    <mergeCell ref="DQ65:EG65"/>
    <mergeCell ref="EH65:EX65"/>
    <mergeCell ref="EY65:FO65"/>
    <mergeCell ref="A65:E65"/>
    <mergeCell ref="F65:AE65"/>
    <mergeCell ref="AF65:AO65"/>
    <mergeCell ref="AP65:BF65"/>
    <mergeCell ref="BG65:BP65"/>
    <mergeCell ref="BQ65:BZ65"/>
    <mergeCell ref="A60:E60"/>
    <mergeCell ref="A48:E48"/>
    <mergeCell ref="A49:E49"/>
    <mergeCell ref="A50:E50"/>
    <mergeCell ref="A51:E51"/>
    <mergeCell ref="A52:E52"/>
    <mergeCell ref="A53:E53"/>
    <mergeCell ref="A62:E62"/>
    <mergeCell ref="A63:E63"/>
    <mergeCell ref="A54:E54"/>
    <mergeCell ref="F61:AE61"/>
    <mergeCell ref="A64:E64"/>
    <mergeCell ref="A55:E55"/>
    <mergeCell ref="A56:E56"/>
    <mergeCell ref="A57:E57"/>
    <mergeCell ref="A58:E58"/>
    <mergeCell ref="A59:E59"/>
    <mergeCell ref="HK72:HT72"/>
    <mergeCell ref="HU72:ID72"/>
    <mergeCell ref="IE72:IP72"/>
    <mergeCell ref="A73:E73"/>
    <mergeCell ref="F73:AE73"/>
    <mergeCell ref="AF73:AO73"/>
    <mergeCell ref="AP73:BF73"/>
    <mergeCell ref="BG73:BP73"/>
    <mergeCell ref="BQ73:BZ73"/>
    <mergeCell ref="CA73:CN73"/>
    <mergeCell ref="CO73:DB73"/>
    <mergeCell ref="DC73:DP73"/>
    <mergeCell ref="DQ73:EG73"/>
    <mergeCell ref="EH73:EX73"/>
    <mergeCell ref="EY73:FO73"/>
    <mergeCell ref="FP73:GF73"/>
    <mergeCell ref="GG73:GP73"/>
    <mergeCell ref="HA73:HJ73"/>
    <mergeCell ref="HK73:HT73"/>
    <mergeCell ref="HU73:ID73"/>
    <mergeCell ref="IE73:IP73"/>
    <mergeCell ref="A74:E74"/>
    <mergeCell ref="F74:AE74"/>
    <mergeCell ref="AF74:AO74"/>
    <mergeCell ref="AP74:BF74"/>
    <mergeCell ref="BG74:BP74"/>
    <mergeCell ref="BQ74:BZ74"/>
    <mergeCell ref="CA74:CN74"/>
    <mergeCell ref="CO74:DB74"/>
    <mergeCell ref="DC74:DP74"/>
    <mergeCell ref="DQ74:EG74"/>
    <mergeCell ref="EH74:EX74"/>
    <mergeCell ref="EY74:FO74"/>
    <mergeCell ref="FP74:GF74"/>
    <mergeCell ref="GG74:GP74"/>
    <mergeCell ref="HA74:HJ74"/>
    <mergeCell ref="HK74:HT74"/>
    <mergeCell ref="HU74:ID74"/>
    <mergeCell ref="IE74:IP74"/>
    <mergeCell ref="A76:E76"/>
    <mergeCell ref="F76:AE76"/>
    <mergeCell ref="AF76:AO76"/>
    <mergeCell ref="AP76:BF76"/>
    <mergeCell ref="BG76:BP76"/>
    <mergeCell ref="BQ76:BZ76"/>
    <mergeCell ref="CA76:CN76"/>
    <mergeCell ref="CO76:DB76"/>
    <mergeCell ref="DC76:DP76"/>
    <mergeCell ref="DQ76:EG76"/>
    <mergeCell ref="EH76:EX76"/>
    <mergeCell ref="EY76:FO76"/>
    <mergeCell ref="FP76:GF76"/>
    <mergeCell ref="GG76:GP76"/>
    <mergeCell ref="HA76:HJ76"/>
    <mergeCell ref="HK76:HT76"/>
    <mergeCell ref="HU76:ID76"/>
    <mergeCell ref="IE76:IP76"/>
    <mergeCell ref="A77:E77"/>
    <mergeCell ref="F77:AE77"/>
    <mergeCell ref="AF77:AO77"/>
    <mergeCell ref="AP77:BF77"/>
    <mergeCell ref="BG77:BP77"/>
    <mergeCell ref="BQ77:BZ77"/>
    <mergeCell ref="CA77:CN77"/>
    <mergeCell ref="CO77:DB77"/>
    <mergeCell ref="DC77:DP77"/>
    <mergeCell ref="DQ77:EG77"/>
    <mergeCell ref="EH77:EX77"/>
    <mergeCell ref="EY77:FO77"/>
    <mergeCell ref="FP77:GF77"/>
    <mergeCell ref="GG77:GP77"/>
    <mergeCell ref="HA77:HJ77"/>
    <mergeCell ref="HK77:HT77"/>
    <mergeCell ref="HU77:ID77"/>
    <mergeCell ref="IE77:IP77"/>
    <mergeCell ref="A78:E78"/>
    <mergeCell ref="F78:AE78"/>
    <mergeCell ref="AF78:AO78"/>
    <mergeCell ref="AP78:BF78"/>
    <mergeCell ref="BG78:BP78"/>
    <mergeCell ref="BQ78:BZ78"/>
    <mergeCell ref="CA78:CN78"/>
    <mergeCell ref="CO78:DB78"/>
    <mergeCell ref="DC78:DP78"/>
    <mergeCell ref="DQ78:EG78"/>
    <mergeCell ref="EH78:EX78"/>
    <mergeCell ref="EY78:FO78"/>
    <mergeCell ref="FP78:GF78"/>
    <mergeCell ref="GG78:GP78"/>
    <mergeCell ref="HA78:HJ78"/>
    <mergeCell ref="HK78:HT78"/>
    <mergeCell ref="HU78:ID78"/>
    <mergeCell ref="IE78:IP78"/>
    <mergeCell ref="A79:E79"/>
    <mergeCell ref="F79:AE79"/>
    <mergeCell ref="AF79:AO79"/>
    <mergeCell ref="AP79:BF79"/>
    <mergeCell ref="BG79:BP79"/>
    <mergeCell ref="BQ79:BZ79"/>
    <mergeCell ref="CA79:CN79"/>
    <mergeCell ref="CO79:DB79"/>
    <mergeCell ref="DC79:DP79"/>
    <mergeCell ref="DQ79:EG79"/>
    <mergeCell ref="EH79:EX79"/>
    <mergeCell ref="EY79:FO79"/>
    <mergeCell ref="FP79:GF79"/>
    <mergeCell ref="GG79:GP79"/>
    <mergeCell ref="HA79:HJ79"/>
    <mergeCell ref="HK79:HT79"/>
    <mergeCell ref="HU79:ID79"/>
    <mergeCell ref="IE79:IP79"/>
    <mergeCell ref="A80:E80"/>
    <mergeCell ref="F80:AE80"/>
    <mergeCell ref="AF80:AO80"/>
    <mergeCell ref="AP80:BF80"/>
    <mergeCell ref="BG80:BP80"/>
    <mergeCell ref="BQ80:BZ80"/>
    <mergeCell ref="CA80:CN80"/>
    <mergeCell ref="CO80:DB80"/>
    <mergeCell ref="DC80:DP80"/>
    <mergeCell ref="DQ80:EG80"/>
    <mergeCell ref="EH80:EX80"/>
    <mergeCell ref="EY80:FO80"/>
    <mergeCell ref="FP80:GF80"/>
    <mergeCell ref="GG80:GP80"/>
    <mergeCell ref="HA80:HJ80"/>
    <mergeCell ref="HK80:HT80"/>
    <mergeCell ref="HU80:ID80"/>
    <mergeCell ref="IE80:IP80"/>
    <mergeCell ref="A81:E81"/>
    <mergeCell ref="F81:AE81"/>
    <mergeCell ref="AF81:AO81"/>
    <mergeCell ref="AP81:BF81"/>
    <mergeCell ref="BG81:BP81"/>
    <mergeCell ref="HK81:HT81"/>
    <mergeCell ref="HU81:ID81"/>
    <mergeCell ref="GQ81:GZ81"/>
    <mergeCell ref="BQ81:BZ81"/>
    <mergeCell ref="CA81:CN81"/>
    <mergeCell ref="CO81:DB81"/>
    <mergeCell ref="DC81:DP81"/>
    <mergeCell ref="DQ81:EG81"/>
    <mergeCell ref="EH81:EX81"/>
    <mergeCell ref="CO82:DB82"/>
    <mergeCell ref="DC82:DP82"/>
    <mergeCell ref="EY81:FO81"/>
    <mergeCell ref="FP81:GF81"/>
    <mergeCell ref="GG81:GP81"/>
    <mergeCell ref="HA81:HJ81"/>
    <mergeCell ref="HA82:HJ82"/>
    <mergeCell ref="GQ82:GZ82"/>
    <mergeCell ref="IE81:IP81"/>
    <mergeCell ref="A82:E82"/>
    <mergeCell ref="F82:AE82"/>
    <mergeCell ref="AF82:AO82"/>
    <mergeCell ref="AP82:BF82"/>
    <mergeCell ref="BG82:BP82"/>
    <mergeCell ref="BQ82:BZ82"/>
    <mergeCell ref="CA82:CN82"/>
    <mergeCell ref="HU82:ID82"/>
    <mergeCell ref="IE82:IP82"/>
    <mergeCell ref="A83:E83"/>
    <mergeCell ref="F83:AE83"/>
    <mergeCell ref="AF83:AO83"/>
    <mergeCell ref="AP83:BF83"/>
    <mergeCell ref="BG83:BP83"/>
    <mergeCell ref="BQ83:BZ83"/>
    <mergeCell ref="CA83:CN83"/>
    <mergeCell ref="DQ82:EG82"/>
    <mergeCell ref="DC83:DP83"/>
    <mergeCell ref="DQ83:EG83"/>
    <mergeCell ref="EH83:EX83"/>
    <mergeCell ref="EY83:FO83"/>
    <mergeCell ref="FP83:GF83"/>
    <mergeCell ref="HK82:HT82"/>
    <mergeCell ref="EH82:EX82"/>
    <mergeCell ref="EY82:FO82"/>
    <mergeCell ref="FP82:GF82"/>
    <mergeCell ref="GG82:GP82"/>
    <mergeCell ref="A84:E84"/>
    <mergeCell ref="F84:AE84"/>
    <mergeCell ref="AF84:AO84"/>
    <mergeCell ref="AP84:BF84"/>
    <mergeCell ref="BG84:BP84"/>
    <mergeCell ref="CO83:DB83"/>
    <mergeCell ref="EH84:EX84"/>
    <mergeCell ref="GG83:GP83"/>
    <mergeCell ref="HA83:HJ83"/>
    <mergeCell ref="HK83:HT83"/>
    <mergeCell ref="HU83:ID83"/>
    <mergeCell ref="IE83:IP83"/>
    <mergeCell ref="FP84:GF84"/>
    <mergeCell ref="GG84:GP84"/>
    <mergeCell ref="HA84:HJ84"/>
    <mergeCell ref="HK84:HT84"/>
    <mergeCell ref="HU84:ID84"/>
    <mergeCell ref="BQ84:BZ84"/>
    <mergeCell ref="CA84:CN84"/>
    <mergeCell ref="CO84:DB84"/>
    <mergeCell ref="DC84:DP84"/>
    <mergeCell ref="DQ84:EG84"/>
    <mergeCell ref="IE84:IP84"/>
    <mergeCell ref="A85:E85"/>
    <mergeCell ref="F85:AE85"/>
    <mergeCell ref="AF85:AO85"/>
    <mergeCell ref="AP85:BF85"/>
    <mergeCell ref="BG85:BP85"/>
    <mergeCell ref="BQ85:BZ85"/>
    <mergeCell ref="CA85:CN85"/>
    <mergeCell ref="CO85:DB85"/>
    <mergeCell ref="DC85:DP85"/>
    <mergeCell ref="DQ85:EG85"/>
    <mergeCell ref="EH85:EX85"/>
    <mergeCell ref="EY85:FO85"/>
    <mergeCell ref="FP85:GF85"/>
    <mergeCell ref="GG75:GP75"/>
    <mergeCell ref="HA75:HJ75"/>
    <mergeCell ref="GQ77:GZ77"/>
    <mergeCell ref="GQ78:GZ78"/>
    <mergeCell ref="GQ79:GZ79"/>
    <mergeCell ref="GQ80:GZ80"/>
    <mergeCell ref="HK75:HT75"/>
    <mergeCell ref="HU75:ID75"/>
    <mergeCell ref="IE75:IP75"/>
    <mergeCell ref="GG85:GP85"/>
    <mergeCell ref="HA85:HJ85"/>
    <mergeCell ref="HK85:HT85"/>
    <mergeCell ref="HU85:ID85"/>
    <mergeCell ref="IE85:IP85"/>
    <mergeCell ref="GQ76:GZ76"/>
    <mergeCell ref="GQ75:GZ75"/>
    <mergeCell ref="CA75:CN75"/>
    <mergeCell ref="CO75:DB75"/>
    <mergeCell ref="DC75:DP75"/>
    <mergeCell ref="DQ75:EG75"/>
    <mergeCell ref="EY75:FO75"/>
    <mergeCell ref="FP75:GF75"/>
    <mergeCell ref="HA70:HJ70"/>
    <mergeCell ref="HK70:HT70"/>
    <mergeCell ref="HU70:ID70"/>
    <mergeCell ref="IE70:IP70"/>
    <mergeCell ref="A75:E75"/>
    <mergeCell ref="F75:AE75"/>
    <mergeCell ref="AF75:AO75"/>
    <mergeCell ref="AP75:BF75"/>
    <mergeCell ref="BG75:BP75"/>
    <mergeCell ref="BQ75:BZ75"/>
    <mergeCell ref="GQ22:GZ22"/>
    <mergeCell ref="GQ23:GZ23"/>
    <mergeCell ref="GQ24:GZ24"/>
    <mergeCell ref="GQ36:GZ36"/>
    <mergeCell ref="GQ37:GZ37"/>
    <mergeCell ref="GQ38:GZ38"/>
    <mergeCell ref="GQ47:GZ47"/>
    <mergeCell ref="GQ48:GZ48"/>
    <mergeCell ref="GQ49:GZ49"/>
    <mergeCell ref="GQ50:GZ50"/>
    <mergeCell ref="GQ51:GZ51"/>
    <mergeCell ref="GQ52:GZ52"/>
    <mergeCell ref="GQ53:GZ53"/>
    <mergeCell ref="GQ54:GZ54"/>
    <mergeCell ref="GQ55:GZ55"/>
    <mergeCell ref="GQ56:GZ56"/>
    <mergeCell ref="GQ57:GZ57"/>
    <mergeCell ref="GQ58:GZ58"/>
    <mergeCell ref="GQ64:GZ64"/>
    <mergeCell ref="GQ65:GZ65"/>
    <mergeCell ref="GQ71:GZ71"/>
    <mergeCell ref="GQ72:GZ72"/>
    <mergeCell ref="GQ73:GZ73"/>
    <mergeCell ref="GQ74:GZ74"/>
    <mergeCell ref="GQ83:GZ83"/>
    <mergeCell ref="GQ84:GZ84"/>
    <mergeCell ref="GQ85:GZ85"/>
    <mergeCell ref="EH70:EX70"/>
    <mergeCell ref="EY70:FO70"/>
    <mergeCell ref="FP70:GF70"/>
    <mergeCell ref="GG70:GP70"/>
    <mergeCell ref="GQ70:GZ70"/>
    <mergeCell ref="EH75:EX75"/>
    <mergeCell ref="EY84:FO84"/>
    <mergeCell ref="BG70:BP70"/>
    <mergeCell ref="BQ70:BZ70"/>
    <mergeCell ref="CA70:CN70"/>
    <mergeCell ref="CO70:DB70"/>
    <mergeCell ref="DC70:DP70"/>
    <mergeCell ref="DQ70:EG70"/>
    <mergeCell ref="F46:AE46"/>
    <mergeCell ref="A46:E46"/>
    <mergeCell ref="A70:E70"/>
    <mergeCell ref="F70:AE70"/>
    <mergeCell ref="AF70:AO70"/>
    <mergeCell ref="AP70:BF70"/>
    <mergeCell ref="F54:AE54"/>
    <mergeCell ref="F55:AE55"/>
    <mergeCell ref="F60:AE60"/>
    <mergeCell ref="A61:E61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portrait" paperSize="8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pto11</cp:lastModifiedBy>
  <cp:lastPrinted>2016-04-15T07:17:12Z</cp:lastPrinted>
  <dcterms:created xsi:type="dcterms:W3CDTF">2010-07-12T09:57:56Z</dcterms:created>
  <dcterms:modified xsi:type="dcterms:W3CDTF">2016-04-15T08:35:42Z</dcterms:modified>
  <cp:category/>
  <cp:version/>
  <cp:contentType/>
  <cp:contentStatus/>
</cp:coreProperties>
</file>